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1.xml" ContentType="application/vnd.openxmlformats-officedocument.drawing+xml"/>
  <Override PartName="/xl/ink/ink1.xml" ContentType="application/inkml+xml"/>
  <Override PartName="/xl/printerSettings/printerSettings3.bin" ContentType="application/vnd.openxmlformats-officedocument.spreadsheetml.printerSettings"/>
  <Override PartName="/xl/drawings/drawing2.xml" ContentType="application/vnd.openxmlformats-officedocument.drawing+xml"/>
  <Override PartName="/xl/ink/ink2.xml" ContentType="application/inkml+xml"/>
  <Override PartName="/xl/printerSettings/printerSettings4.bin" ContentType="application/vnd.openxmlformats-officedocument.spreadsheetml.printerSettings"/>
  <Override PartName="/xl/drawings/drawing3.xml" ContentType="application/vnd.openxmlformats-officedocument.drawing+xml"/>
  <Override PartName="/xl/ink/ink3.xml" ContentType="application/inkml+xml"/>
  <Override PartName="/xl/printerSettings/printerSettings5.bin" ContentType="application/vnd.openxmlformats-officedocument.spreadsheetml.printerSettings"/>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autoCompressPictures="0" defaultThemeVersion="124226"/>
  <xr:revisionPtr revIDLastSave="501" documentId="13_ncr:1_{C68EAB51-5E12-4179-B888-59B31AEC2A08}" xr6:coauthVersionLast="47" xr6:coauthVersionMax="47" xr10:uidLastSave="{C15103E8-58F2-486B-BCF8-1AC13D551CCA}"/>
  <bookViews>
    <workbookView xWindow="-110" yWindow="-110" windowWidth="19420" windowHeight="11500" firstSheet="7" activeTab="9" xr2:uid="{00000000-000D-0000-FFFF-FFFF00000000}"/>
  </bookViews>
  <sheets>
    <sheet name="Grants vs Capacity Budget" sheetId="22" state="hidden" r:id="rId1"/>
    <sheet name="example" sheetId="16" state="hidden" r:id="rId2"/>
    <sheet name="6" sheetId="17" state="hidden" r:id="rId3"/>
    <sheet name="calculations obj 1" sheetId="18" state="hidden" r:id="rId4"/>
    <sheet name="Sheet1" sheetId="20" state="hidden" r:id="rId5"/>
    <sheet name="2024-2028 Budget" sheetId="12" r:id="rId6"/>
    <sheet name="2024 DETAILED BUDGET" sheetId="34" r:id="rId7"/>
    <sheet name="Activity Budget Example" sheetId="31" r:id="rId8"/>
    <sheet name="Work Plan" sheetId="35" r:id="rId9"/>
    <sheet name="Employee Budget Example" sheetId="26"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definedNames>
    <definedName name="ACF">'[1]ACF budget'!$B$15:$Q$102</definedName>
    <definedName name="Active">[2]P1!$D$15:$D$16</definedName>
    <definedName name="actual">'[3]Utilization AA'!$G$8:$AG$118</definedName>
    <definedName name="ADVANCE">[4]P1!$J$15:$J$28</definedName>
    <definedName name="ADVANCEBOOK">[5]BK3!$A$4:$Q$400</definedName>
    <definedName name="Afg_EUR_rate">'[6]BoQ-Unit costs'!$H$1</definedName>
    <definedName name="Areas">[2]P1!$AH$15:$AH$28</definedName>
    <definedName name="ath">[7]P1!$H$15:$H$20</definedName>
    <definedName name="bailleurs">'[8]1 Parameters'!$R$6:$R$47</definedName>
    <definedName name="base">'[8]1 Parameters'!$C$6:$C$20</definedName>
    <definedName name="Benefit1">'[9]COL &amp; Benefit'!$A$2:$AA$60</definedName>
    <definedName name="BUDGET">[2]P1!$L$15:$L$25</definedName>
    <definedName name="Cate">[10]DATA!$B$5:$B$13</definedName>
    <definedName name="Category">[11]DATA!$B$5:$B$13</definedName>
    <definedName name="Category1">[12]DATA!$B$5:$B$13</definedName>
    <definedName name="child_exempt">'[9]IC-Tax Schedule'!$C$2</definedName>
    <definedName name="CHIN">'[9]Field Allowance'!$B$7</definedName>
    <definedName name="computer">'[9]Fix 1'!$K$1</definedName>
    <definedName name="Condition">[11]DATA!$C$5:$C$9</definedName>
    <definedName name="cumutax">'[9]IC-Tax Schedule'!$E$4:$E$11</definedName>
    <definedName name="cut_off">'[9]IC-Tax Schedule'!$D$2</definedName>
    <definedName name="CVGSTH">[13]P1!$H$15:$H$20</definedName>
    <definedName name="date">'[9]Employee Follow up'!$A$2</definedName>
    <definedName name="dateEOC">'[9]EOC-notice'!$P$2</definedName>
    <definedName name="DD">[14]D1!$A$5:$A$400</definedName>
    <definedName name="Department">[2]P1!$J$15:$J$28</definedName>
    <definedName name="DEPENDENTS_INCTAX">'[9]Medical coverage'!$A$2:$BC$45</definedName>
    <definedName name="DEVISES">'[8]1 Parameters'!$I$6:$I$25</definedName>
    <definedName name="dollarpound">'[15]Range page'!$A$47</definedName>
    <definedName name="Duraiton">[16]P1!$AF$15:$AF$17</definedName>
    <definedName name="emp">'[9]Employee Follow up'!$A$3:$AZ$203</definedName>
    <definedName name="employee">'[17]Employee Follow up'!$A$3:$AU$133</definedName>
    <definedName name="EquipAA">'[18]detailed budget'!$AO$103:$AO$118</definedName>
    <definedName name="EquipMal">'[18]detailed budget'!$AP$103:$AP$118</definedName>
    <definedName name="Equipment">'[18]detailed budget'!$A$103:$A$116</definedName>
    <definedName name="EquipMoz">'[18]detailed budget'!$AQ$103:$AQ$118</definedName>
    <definedName name="EquipTaz">'[18]detailed budget'!$AS$103:$AS$118</definedName>
    <definedName name="EqupNep">'[18]detailed budget'!$AR$103:$AR$118</definedName>
    <definedName name="EXTRAPAYBOOK">[5]BK6!$A$4:$L$400</definedName>
    <definedName name="FCT_DETAIL1">'[19]1 Parameters'!$AX$6:$AX$115</definedName>
    <definedName name="FCT_NOMCATCOMPTA">'[19]1 Parameters'!$AR$6:$AR$21</definedName>
    <definedName name="fieldlkw">'[9]Field Allowance'!$B$8</definedName>
    <definedName name="gen_exempt_perc">'[9]IC-Tax Schedule'!$A$2</definedName>
    <definedName name="HHH">[20]DATA!$B$5:$B$13</definedName>
    <definedName name="HR_CLASSIF">'[8]1 Parameters'!$AL$7:$AL$45</definedName>
    <definedName name="HR_CLASSIF2">'[8]1 Parameters'!$AL$7:$AO$45</definedName>
    <definedName name="HR_DPT">'[8]1 Parameters'!$AE$6:$AE$21</definedName>
    <definedName name="HR_DPT3">'[8]1 Parameters'!$AE$6:$AG$21</definedName>
    <definedName name="HR_SEXE">'[8]1 Parameters'!$AB$6:$AB$7</definedName>
    <definedName name="ICTaxTable">'[9]IC-Tax Schedule'!$A$3:$F$11</definedName>
    <definedName name="IncomeTaxe">[5]P2!$A$72:$G$119</definedName>
    <definedName name="IRC_Unrestricted">"'Summary'!rngLastPredefinedSource"</definedName>
    <definedName name="LASHIO">'[9]Field Allowance'!$B$6</definedName>
    <definedName name="leave">[9]Attendance!$A$3:$AL$85</definedName>
    <definedName name="LEAVESYNTHESIS">[5]F1!$A$4:$Q$504</definedName>
    <definedName name="ListA1T">[2]P1!$P$15:$P$24</definedName>
    <definedName name="ListA3A">[2]P1!$R$15:$R$20</definedName>
    <definedName name="ListA3B">[2]P1!$V$15:$V$27</definedName>
    <definedName name="ListB2L">[2]P1!$T$15:$T$25</definedName>
    <definedName name="ListContract">[13]P1!$D$19:$D$20</definedName>
    <definedName name="ListF1G">[2]P1!$N$15:$N$20</definedName>
    <definedName name="ListF1H">[2]P1!$X$15:$X$20</definedName>
    <definedName name="ListRelocation">[13]P1!$AL$15:$AL$20</definedName>
    <definedName name="ListZ1J">[2]P1!$AB$15:$AB$16</definedName>
    <definedName name="LOANBOOK">[5]BK4!$A$4:$AA$400</definedName>
    <definedName name="localfringe">'[15]Range page'!$A$7</definedName>
    <definedName name="MCWH">[5]P2!$F$3</definedName>
    <definedName name="MDy">[10]DATA!$C$5:$C$9</definedName>
    <definedName name="MEDCOST">[5]BK5!$L$4:$L$55</definedName>
    <definedName name="MEDSTAFFCODE">[5]BK5!$B$4:$B$55</definedName>
    <definedName name="Mozlabel1">#REF!</definedName>
    <definedName name="Mozoutput">#REF!</definedName>
    <definedName name="MozoutputQTR4">#REF!</definedName>
    <definedName name="mozyr3">#REF!</definedName>
    <definedName name="ONE">'[1]BA-Result 1'!$A$9:$O$168</definedName>
    <definedName name="OUTPUT1AA">'[18]detailed budget'!$AO$166:$AO$303</definedName>
    <definedName name="OUTPUT1AA1">'[18]detailed budget'!$A$166:$A$302</definedName>
    <definedName name="OUTPUT1ETH">'[18]detailed budget'!$AT$166:$AT$303</definedName>
    <definedName name="OUTPUT1MAL">'[18]detailed budget'!$AP$166:$AP$303</definedName>
    <definedName name="OUTPUT1MOZ">'[18]detailed budget'!$AQ$166:$AQ$303</definedName>
    <definedName name="OUTPUT1MYM">'[18]detailed budget'!$AU$166:$AU$303</definedName>
    <definedName name="OUTPUT1NEP">'[18]detailed budget'!$AR$166:$AR$303</definedName>
    <definedName name="OUTPUT1TAZ">'[18]detailed budget'!$AS$166:$AS$303</definedName>
    <definedName name="OUTPUT2">'[18]detailed budget'!$A$305:$A$372</definedName>
    <definedName name="OUTPUT2AA">'[18]detailed budget'!$AO$305:$AO$372</definedName>
    <definedName name="OUTPUT2ETH">'[18]detailed budget'!$AT$305:$AT$372</definedName>
    <definedName name="OUTPUT2MAL">'[18]detailed budget'!$AP$305:$AP$372</definedName>
    <definedName name="OUTPUT2MOZ">'[18]detailed budget'!$AQ$305:$AQ$372</definedName>
    <definedName name="OUTPUT2MYM">'[18]detailed budget'!$AU$305:$AU$372</definedName>
    <definedName name="OUTPUT2NEP">'[18]detailed budget'!$AR$305:$AR$372</definedName>
    <definedName name="OUTPUT2TAZ">'[18]detailed budget'!$AS$305:$AS$372</definedName>
    <definedName name="OUTPUT3">'[18]detailed budget'!$A$375:$A$390</definedName>
    <definedName name="OUTPUT3AA">'[18]detailed budget'!$AO$375:$AO$390</definedName>
    <definedName name="OUTPUT3ETH">'[18]detailed budget'!$AT$375:$AT$390</definedName>
    <definedName name="OUTPUT3MAL">'[18]detailed budget'!$AP$375:$AP$390</definedName>
    <definedName name="OUTPUT3MOZ">'[18]detailed budget'!$AQ$375:$AQ$390</definedName>
    <definedName name="OUTPUT3MYM">'[18]detailed budget'!$AU$375:$AU$390</definedName>
    <definedName name="OUTPUT3NEP">'[18]detailed budget'!$AR$375:$AR$390</definedName>
    <definedName name="OUTPUT3TAZ">'[18]detailed budget'!$AS$375:$AS$390</definedName>
    <definedName name="OVERBOOK">[5]BK2!$A$6:$M$400</definedName>
    <definedName name="Payroll">'[9]COL &amp; Benefit'!$A$4:$Z$60</definedName>
    <definedName name="Payroll1">'[9]Payroll Permanent '!$A$4:$AJ$40</definedName>
    <definedName name="PERSONALDATA">[5]D2!$A$4:$AF$400</definedName>
    <definedName name="Projectcode">[13]P1!$A$15:$B$53</definedName>
    <definedName name="PROJET">'[8]1 Parameters'!$F$6:$F$33</definedName>
    <definedName name="reasonterminationcontract">[13]P1!$AV$15:$AV$22</definedName>
    <definedName name="sa">[16]P2!$A$10:$AA$37</definedName>
    <definedName name="SALARYSCALE">[5]P2!$A$10:$Z$58</definedName>
    <definedName name="seniorities">'[21]Salary Grid'!$F$2:$J$4</definedName>
    <definedName name="senioritiese">'[21]Salary Grid'!$F$2:$J$4</definedName>
    <definedName name="seniority">'[21]Salary Grid'!$F$2:$J$4</definedName>
    <definedName name="SENTEX">[5]P2!$F$5</definedName>
    <definedName name="sigledev1">[22]renvoi!$A$5</definedName>
    <definedName name="sigledev4">[22]renvoi!$A$8</definedName>
    <definedName name="spouse_exempt">'[9]IC-Tax Schedule'!$B$2</definedName>
    <definedName name="STAFFDATA">[5]D2!$A$4:$AF$400</definedName>
    <definedName name="StaffList">[23]D1!$A$5:$A$175</definedName>
    <definedName name="Status">[12]DATA!$C$5:$C$9</definedName>
    <definedName name="STATUTCONTRAT">'[8]1 Parameters'!$N$6:$N$11</definedName>
    <definedName name="T1DEDUC">[5]P2!$D$63</definedName>
    <definedName name="T1LUMPSUM">[5]P2!$G$63</definedName>
    <definedName name="T1MAX">[5]P2!$C$63</definedName>
    <definedName name="T1MIN">[5]P2!$B$63</definedName>
    <definedName name="T1RATE">[5]P2!$F$63</definedName>
    <definedName name="T2DEDUC">[5]P2!$D$64</definedName>
    <definedName name="T2LUMPSUM">[5]P2!$G$64</definedName>
    <definedName name="T2MAX">[5]P2!$C$64</definedName>
    <definedName name="T2MIN">[5]P2!$B$64</definedName>
    <definedName name="T2RATE">[5]P2!$F$64</definedName>
    <definedName name="T3DEDUC">[5]P2!$D$65</definedName>
    <definedName name="T3LUMPSUM">[5]P2!$G$65</definedName>
    <definedName name="T3MAX">[5]P2!$C$65</definedName>
    <definedName name="T3MIN">[5]P2!$B$65</definedName>
    <definedName name="T3RATE">[5]P2!$F$65</definedName>
    <definedName name="T4DEDUC">[5]P2!$D$66</definedName>
    <definedName name="T4LUMPSUM">[5]P2!$G$66</definedName>
    <definedName name="T4MAX">[5]P2!$C$66</definedName>
    <definedName name="T4MIN">[5]P2!$B$66</definedName>
    <definedName name="T4RATE">[5]P2!$F$66</definedName>
    <definedName name="taux">'[24]TREEAID BUDGET'!$D$9</definedName>
    <definedName name="taxrate">'[9]IC-Tax Schedule'!$C$4:$C$11</definedName>
    <definedName name="THREE">'[1]BC-Result 3'!$A$9:$O$138</definedName>
    <definedName name="TypeOfHours">[13]P1!$AY$15:$AY$17</definedName>
    <definedName name="UB">'[9]IC-Tax Schedule'!$B$4:$B$11</definedName>
    <definedName name="VOLO">[25]paramètres!$B$5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9" i="35" l="1"/>
  <c r="A30" i="35"/>
  <c r="A31" i="35"/>
  <c r="A32" i="35"/>
  <c r="A33" i="35"/>
  <c r="A34" i="35"/>
  <c r="A35" i="35"/>
  <c r="A36" i="35"/>
  <c r="A37" i="35"/>
  <c r="A38" i="35"/>
  <c r="A39" i="35"/>
  <c r="A40" i="35"/>
  <c r="A41" i="35"/>
  <c r="A42" i="35"/>
  <c r="A28" i="35"/>
  <c r="F15" i="34"/>
  <c r="F16" i="34"/>
  <c r="O16" i="34"/>
  <c r="W16" i="34" s="1"/>
  <c r="AC16" i="34" s="1"/>
  <c r="Q16" i="34"/>
  <c r="X16" i="34" s="1"/>
  <c r="AD16" i="34" s="1"/>
  <c r="F17" i="34"/>
  <c r="F18" i="34"/>
  <c r="M18" i="34"/>
  <c r="V18" i="34" s="1"/>
  <c r="AB18" i="34" s="1"/>
  <c r="F19" i="34"/>
  <c r="F20" i="34"/>
  <c r="F22" i="34"/>
  <c r="M21" i="34"/>
  <c r="V21" i="34" s="1"/>
  <c r="AB21" i="34" s="1"/>
  <c r="F23" i="34"/>
  <c r="F24" i="34"/>
  <c r="F25" i="34"/>
  <c r="F26" i="34"/>
  <c r="F27" i="34"/>
  <c r="F28" i="34"/>
  <c r="F29" i="34"/>
  <c r="F30" i="34"/>
  <c r="F31" i="34"/>
  <c r="F36" i="34"/>
  <c r="F37" i="34"/>
  <c r="K37" i="34" s="1"/>
  <c r="U37" i="34" s="1"/>
  <c r="F42" i="34"/>
  <c r="F43" i="34"/>
  <c r="F44" i="34"/>
  <c r="F49" i="34"/>
  <c r="F50" i="34"/>
  <c r="Q50" i="34"/>
  <c r="F51" i="34"/>
  <c r="F52" i="34"/>
  <c r="F53" i="34"/>
  <c r="G53" i="34"/>
  <c r="F54" i="34"/>
  <c r="F55" i="34"/>
  <c r="G55" i="34"/>
  <c r="F56" i="34"/>
  <c r="F57" i="34"/>
  <c r="F64" i="34"/>
  <c r="M64" i="34"/>
  <c r="V64" i="34" s="1"/>
  <c r="F65" i="34"/>
  <c r="K65" i="34" s="1"/>
  <c r="F66" i="34"/>
  <c r="F67" i="34"/>
  <c r="F68" i="34"/>
  <c r="F69" i="34"/>
  <c r="F70" i="34"/>
  <c r="F71" i="34"/>
  <c r="F72" i="34"/>
  <c r="K72" i="34" s="1"/>
  <c r="U72" i="34" s="1"/>
  <c r="AA72" i="34" s="1"/>
  <c r="F73" i="34"/>
  <c r="K73" i="34" s="1"/>
  <c r="F75" i="34"/>
  <c r="M75" i="34"/>
  <c r="V75" i="34" s="1"/>
  <c r="AB75" i="34" s="1"/>
  <c r="F76" i="34"/>
  <c r="K76" i="34" s="1"/>
  <c r="U76" i="34" s="1"/>
  <c r="F77" i="34"/>
  <c r="F78" i="34"/>
  <c r="F79" i="34"/>
  <c r="G79" i="34"/>
  <c r="F80" i="34"/>
  <c r="F82" i="34"/>
  <c r="F83" i="34"/>
  <c r="F84" i="34"/>
  <c r="F85" i="34"/>
  <c r="F86" i="34"/>
  <c r="F87" i="34"/>
  <c r="F90" i="34"/>
  <c r="F91" i="34"/>
  <c r="F92" i="34"/>
  <c r="F93" i="34"/>
  <c r="F94" i="34"/>
  <c r="F95" i="34"/>
  <c r="F96" i="34"/>
  <c r="F97" i="34"/>
  <c r="F98" i="34"/>
  <c r="F99" i="34"/>
  <c r="F100" i="34"/>
  <c r="F101" i="34"/>
  <c r="F102" i="34"/>
  <c r="F103" i="34"/>
  <c r="Y123" i="34"/>
  <c r="Y124" i="34" s="1"/>
  <c r="Y128" i="34" s="1"/>
  <c r="AE107" i="34"/>
  <c r="AE109" i="34" s="1"/>
  <c r="AD107" i="34"/>
  <c r="AD109" i="34" s="1"/>
  <c r="AC107" i="34"/>
  <c r="AC109" i="34" s="1"/>
  <c r="AB107" i="34"/>
  <c r="AB109" i="34" s="1"/>
  <c r="AA107" i="34"/>
  <c r="AA109" i="34" s="1"/>
  <c r="Y107" i="34"/>
  <c r="Y109" i="34" s="1"/>
  <c r="X107" i="34"/>
  <c r="X109" i="34" s="1"/>
  <c r="W107" i="34"/>
  <c r="W109" i="34" s="1"/>
  <c r="V107" i="34"/>
  <c r="V109" i="34" s="1"/>
  <c r="U107" i="34"/>
  <c r="U109" i="34" s="1"/>
  <c r="S107" i="34"/>
  <c r="S109" i="34" s="1"/>
  <c r="Q107" i="34"/>
  <c r="Q109" i="34" s="1"/>
  <c r="O107" i="34"/>
  <c r="O109" i="34" s="1"/>
  <c r="M107" i="34"/>
  <c r="M109" i="34" s="1"/>
  <c r="K107" i="34"/>
  <c r="K109" i="34" s="1"/>
  <c r="C105" i="34"/>
  <c r="W104" i="34"/>
  <c r="AC104" i="34" s="1"/>
  <c r="V104" i="34"/>
  <c r="AB104" i="34" s="1"/>
  <c r="Q104" i="34"/>
  <c r="X104" i="34" s="1"/>
  <c r="AD104" i="34" s="1"/>
  <c r="K104" i="34"/>
  <c r="S104" i="34" s="1"/>
  <c r="B103" i="34"/>
  <c r="F89" i="34"/>
  <c r="F88" i="34" s="1"/>
  <c r="G88" i="34"/>
  <c r="E88" i="34"/>
  <c r="G86" i="34"/>
  <c r="Q82" i="34"/>
  <c r="X82" i="34" s="1"/>
  <c r="AD82" i="34" s="1"/>
  <c r="M82" i="34"/>
  <c r="V82" i="34" s="1"/>
  <c r="AB82" i="34" s="1"/>
  <c r="K82" i="34"/>
  <c r="O82" i="34"/>
  <c r="W82" i="34" s="1"/>
  <c r="AC82" i="34" s="1"/>
  <c r="E81" i="34"/>
  <c r="D81" i="34"/>
  <c r="G80" i="34"/>
  <c r="G78" i="34"/>
  <c r="Q76" i="34"/>
  <c r="X76" i="34" s="1"/>
  <c r="AD76" i="34" s="1"/>
  <c r="O76" i="34"/>
  <c r="W76" i="34" s="1"/>
  <c r="AC76" i="34" s="1"/>
  <c r="M76" i="34"/>
  <c r="V76" i="34" s="1"/>
  <c r="AB76" i="34" s="1"/>
  <c r="Q75" i="34"/>
  <c r="X75" i="34" s="1"/>
  <c r="AD75" i="34" s="1"/>
  <c r="O75" i="34"/>
  <c r="W75" i="34" s="1"/>
  <c r="AC75" i="34" s="1"/>
  <c r="E74" i="34"/>
  <c r="D74" i="34"/>
  <c r="M73" i="34"/>
  <c r="V73" i="34" s="1"/>
  <c r="AB73" i="34" s="1"/>
  <c r="M72" i="34"/>
  <c r="V72" i="34" s="1"/>
  <c r="AB72" i="34" s="1"/>
  <c r="O72" i="34"/>
  <c r="W72" i="34" s="1"/>
  <c r="AC72" i="34" s="1"/>
  <c r="Q71" i="34"/>
  <c r="X71" i="34" s="1"/>
  <c r="AD71" i="34" s="1"/>
  <c r="Q66" i="34"/>
  <c r="X66" i="34" s="1"/>
  <c r="AD66" i="34" s="1"/>
  <c r="O66" i="34"/>
  <c r="W66" i="34" s="1"/>
  <c r="AC66" i="34" s="1"/>
  <c r="M66" i="34"/>
  <c r="V66" i="34" s="1"/>
  <c r="AB66" i="34" s="1"/>
  <c r="AD65" i="34"/>
  <c r="O65" i="34"/>
  <c r="W65" i="34" s="1"/>
  <c r="AC65" i="34" s="1"/>
  <c r="Q65" i="34"/>
  <c r="X65" i="34" s="1"/>
  <c r="K64" i="34"/>
  <c r="R63" i="34"/>
  <c r="P63" i="34"/>
  <c r="N63" i="34"/>
  <c r="L63" i="34"/>
  <c r="E63" i="34"/>
  <c r="D63" i="34"/>
  <c r="G62" i="34"/>
  <c r="G61" i="34"/>
  <c r="G60" i="34"/>
  <c r="E59" i="34"/>
  <c r="D59" i="34"/>
  <c r="C59" i="34"/>
  <c r="K56" i="34"/>
  <c r="U56" i="34" s="1"/>
  <c r="O53" i="34"/>
  <c r="W53" i="34" s="1"/>
  <c r="AC53" i="34" s="1"/>
  <c r="O52" i="34"/>
  <c r="W52" i="34" s="1"/>
  <c r="AC52" i="34" s="1"/>
  <c r="M51" i="34"/>
  <c r="V51" i="34" s="1"/>
  <c r="AB51" i="34" s="1"/>
  <c r="K51" i="34"/>
  <c r="U51" i="34" s="1"/>
  <c r="O51" i="34"/>
  <c r="W51" i="34" s="1"/>
  <c r="AC51" i="34" s="1"/>
  <c r="O50" i="34"/>
  <c r="M50" i="34"/>
  <c r="G48" i="34"/>
  <c r="G47" i="34"/>
  <c r="G46" i="34"/>
  <c r="E45" i="34"/>
  <c r="D45" i="34"/>
  <c r="C45" i="34"/>
  <c r="U42" i="34"/>
  <c r="AA42" i="34" s="1"/>
  <c r="AA45" i="34" s="1"/>
  <c r="Q42" i="34"/>
  <c r="M42" i="34"/>
  <c r="M41" i="34" s="1"/>
  <c r="M45" i="34" s="1"/>
  <c r="K41" i="34"/>
  <c r="K45" i="34" s="1"/>
  <c r="G41" i="34"/>
  <c r="G40" i="34"/>
  <c r="G39" i="34"/>
  <c r="R38" i="34"/>
  <c r="P38" i="34"/>
  <c r="N38" i="34"/>
  <c r="L38" i="34"/>
  <c r="E38" i="34"/>
  <c r="D38" i="34"/>
  <c r="O37" i="34"/>
  <c r="W37" i="34" s="1"/>
  <c r="AC37" i="34" s="1"/>
  <c r="M37" i="34"/>
  <c r="V37" i="34" s="1"/>
  <c r="AB37" i="34" s="1"/>
  <c r="Q37" i="34"/>
  <c r="X37" i="34" s="1"/>
  <c r="AD37" i="34" s="1"/>
  <c r="V36" i="34"/>
  <c r="O36" i="34"/>
  <c r="M36" i="34"/>
  <c r="M38" i="34" s="1"/>
  <c r="G35" i="34"/>
  <c r="R33" i="34"/>
  <c r="P33" i="34"/>
  <c r="N33" i="34"/>
  <c r="AK22" i="34"/>
  <c r="K22" i="34"/>
  <c r="E21" i="34"/>
  <c r="D21" i="34"/>
  <c r="K18" i="34"/>
  <c r="Q18" i="34"/>
  <c r="X18" i="34" s="1"/>
  <c r="AD18" i="34" s="1"/>
  <c r="M16" i="34"/>
  <c r="V16" i="34" s="1"/>
  <c r="AB16" i="34" s="1"/>
  <c r="K16" i="34"/>
  <c r="K15" i="34"/>
  <c r="E14" i="34"/>
  <c r="D14" i="34"/>
  <c r="Q10" i="34"/>
  <c r="X10" i="34" s="1"/>
  <c r="O10" i="34"/>
  <c r="W10" i="34" s="1"/>
  <c r="M10" i="34"/>
  <c r="V10" i="34" s="1"/>
  <c r="K10" i="34"/>
  <c r="U10" i="34" s="1"/>
  <c r="N5" i="26"/>
  <c r="O87" i="12"/>
  <c r="O79" i="12"/>
  <c r="O72" i="12"/>
  <c r="U41" i="34" l="1"/>
  <c r="F63" i="34"/>
  <c r="F21" i="34"/>
  <c r="K21" i="34" s="1"/>
  <c r="F74" i="34"/>
  <c r="F105" i="34" s="1"/>
  <c r="F59" i="34"/>
  <c r="F45" i="34"/>
  <c r="F38" i="34"/>
  <c r="F14" i="34"/>
  <c r="F33" i="34" s="1"/>
  <c r="F81" i="34"/>
  <c r="G54" i="34"/>
  <c r="M56" i="34"/>
  <c r="V56" i="34" s="1"/>
  <c r="AB56" i="34" s="1"/>
  <c r="K66" i="34"/>
  <c r="S66" i="34" s="1"/>
  <c r="O73" i="34"/>
  <c r="W73" i="34" s="1"/>
  <c r="AC73" i="34" s="1"/>
  <c r="S82" i="34"/>
  <c r="F110" i="34"/>
  <c r="G37" i="34"/>
  <c r="Q72" i="34"/>
  <c r="X72" i="34" s="1"/>
  <c r="AD72" i="34" s="1"/>
  <c r="AE72" i="34"/>
  <c r="D88" i="34"/>
  <c r="D105" i="34" s="1"/>
  <c r="U82" i="34"/>
  <c r="Y82" i="34" s="1"/>
  <c r="S37" i="34"/>
  <c r="E105" i="34"/>
  <c r="U104" i="34"/>
  <c r="Q15" i="34"/>
  <c r="AA56" i="34"/>
  <c r="U15" i="34"/>
  <c r="AA51" i="34"/>
  <c r="AA37" i="34"/>
  <c r="AE37" i="34" s="1"/>
  <c r="Y37" i="34"/>
  <c r="M15" i="34"/>
  <c r="O42" i="34"/>
  <c r="G50" i="34"/>
  <c r="AA82" i="34"/>
  <c r="AE82" i="34" s="1"/>
  <c r="K110" i="34"/>
  <c r="U22" i="34"/>
  <c r="K36" i="34"/>
  <c r="AB36" i="34"/>
  <c r="AB38" i="34" s="1"/>
  <c r="V38" i="34"/>
  <c r="E33" i="34"/>
  <c r="S16" i="34"/>
  <c r="G16" i="34"/>
  <c r="O18" i="34"/>
  <c r="W18" i="34" s="1"/>
  <c r="AC18" i="34" s="1"/>
  <c r="Q22" i="34"/>
  <c r="U45" i="34"/>
  <c r="AA41" i="34"/>
  <c r="X50" i="34"/>
  <c r="G51" i="34"/>
  <c r="Q51" i="34"/>
  <c r="G57" i="34"/>
  <c r="U18" i="34"/>
  <c r="Q36" i="34"/>
  <c r="M59" i="34"/>
  <c r="V50" i="34"/>
  <c r="M48" i="34"/>
  <c r="X42" i="34"/>
  <c r="Q41" i="34"/>
  <c r="Q45" i="34" s="1"/>
  <c r="U65" i="34"/>
  <c r="U16" i="34"/>
  <c r="Q21" i="34"/>
  <c r="X21" i="34" s="1"/>
  <c r="AD21" i="34" s="1"/>
  <c r="O21" i="34"/>
  <c r="W21" i="34" s="1"/>
  <c r="AC21" i="34" s="1"/>
  <c r="O38" i="34"/>
  <c r="W36" i="34"/>
  <c r="V42" i="34"/>
  <c r="K50" i="34"/>
  <c r="W50" i="34"/>
  <c r="G52" i="34"/>
  <c r="U64" i="34"/>
  <c r="AA76" i="34"/>
  <c r="AE76" i="34" s="1"/>
  <c r="Y76" i="34"/>
  <c r="AB64" i="34"/>
  <c r="M65" i="34"/>
  <c r="S65" i="34" s="1"/>
  <c r="G65" i="34"/>
  <c r="M22" i="34"/>
  <c r="D33" i="34"/>
  <c r="G72" i="34"/>
  <c r="Y72" i="34"/>
  <c r="G77" i="34"/>
  <c r="G87" i="34"/>
  <c r="O22" i="34"/>
  <c r="U73" i="34"/>
  <c r="K75" i="34"/>
  <c r="G76" i="34"/>
  <c r="AA104" i="34"/>
  <c r="AE104" i="34" s="1"/>
  <c r="Y104" i="34"/>
  <c r="Q64" i="34"/>
  <c r="G71" i="34"/>
  <c r="S72" i="34"/>
  <c r="G66" i="34"/>
  <c r="Q73" i="34"/>
  <c r="X73" i="34" s="1"/>
  <c r="AD73" i="34" s="1"/>
  <c r="G73" i="34"/>
  <c r="S76" i="34"/>
  <c r="G82" i="34"/>
  <c r="O64" i="34"/>
  <c r="N87" i="12"/>
  <c r="F87" i="12"/>
  <c r="N79" i="12"/>
  <c r="F79" i="12"/>
  <c r="N72" i="12"/>
  <c r="H72" i="12"/>
  <c r="F72" i="12"/>
  <c r="L72" i="12"/>
  <c r="F106" i="34" l="1"/>
  <c r="F107" i="34" s="1"/>
  <c r="F109" i="34" s="1"/>
  <c r="U66" i="34"/>
  <c r="U63" i="34" s="1"/>
  <c r="U105" i="34" s="1"/>
  <c r="S73" i="34"/>
  <c r="K63" i="34"/>
  <c r="K105" i="34" s="1"/>
  <c r="E106" i="34"/>
  <c r="W64" i="34"/>
  <c r="Y64" i="34" s="1"/>
  <c r="O63" i="34"/>
  <c r="O105" i="34" s="1"/>
  <c r="O110" i="34"/>
  <c r="W22" i="34"/>
  <c r="Q38" i="34"/>
  <c r="X36" i="34"/>
  <c r="U21" i="34"/>
  <c r="S21" i="34"/>
  <c r="U110" i="34"/>
  <c r="AA22" i="34"/>
  <c r="O41" i="34"/>
  <c r="O45" i="34" s="1"/>
  <c r="W42" i="34"/>
  <c r="Q63" i="34"/>
  <c r="Q105" i="34" s="1"/>
  <c r="X64" i="34"/>
  <c r="S64" i="34"/>
  <c r="S63" i="34" s="1"/>
  <c r="S105" i="34" s="1"/>
  <c r="G18" i="34"/>
  <c r="AD42" i="34"/>
  <c r="AD45" i="34" s="1"/>
  <c r="X41" i="34"/>
  <c r="X51" i="34"/>
  <c r="G22" i="34"/>
  <c r="AA73" i="34"/>
  <c r="AE73" i="34" s="1"/>
  <c r="Y73" i="34"/>
  <c r="M110" i="34"/>
  <c r="V22" i="34"/>
  <c r="V65" i="34"/>
  <c r="M63" i="34"/>
  <c r="M105" i="34" s="1"/>
  <c r="AA64" i="34"/>
  <c r="AC50" i="34"/>
  <c r="V41" i="34"/>
  <c r="AB42" i="34"/>
  <c r="S22" i="34"/>
  <c r="S110" i="34" s="1"/>
  <c r="AA16" i="34"/>
  <c r="AE16" i="34" s="1"/>
  <c r="Y16" i="34"/>
  <c r="G36" i="34"/>
  <c r="G38" i="34"/>
  <c r="AA18" i="34"/>
  <c r="AE18" i="34" s="1"/>
  <c r="Y18" i="34"/>
  <c r="Q110" i="34"/>
  <c r="X22" i="34"/>
  <c r="E107" i="34"/>
  <c r="O15" i="34"/>
  <c r="Q33" i="34"/>
  <c r="X15" i="34"/>
  <c r="AA66" i="34"/>
  <c r="AE66" i="34" s="1"/>
  <c r="Y66" i="34"/>
  <c r="S50" i="34"/>
  <c r="K59" i="34"/>
  <c r="U50" i="34"/>
  <c r="K48" i="34"/>
  <c r="W38" i="34"/>
  <c r="AC36" i="34"/>
  <c r="AC38" i="34" s="1"/>
  <c r="AA65" i="34"/>
  <c r="O56" i="34"/>
  <c r="AD50" i="34"/>
  <c r="AA15" i="34"/>
  <c r="G105" i="34"/>
  <c r="V59" i="34"/>
  <c r="AB50" i="34"/>
  <c r="AB59" i="34" s="1"/>
  <c r="G49" i="34"/>
  <c r="K38" i="34"/>
  <c r="S36" i="34"/>
  <c r="S38" i="34" s="1"/>
  <c r="U36" i="34"/>
  <c r="G75" i="34"/>
  <c r="G64" i="34"/>
  <c r="G63" i="34"/>
  <c r="U75" i="34"/>
  <c r="S75" i="34"/>
  <c r="D106" i="34"/>
  <c r="D107" i="34" s="1"/>
  <c r="S42" i="34"/>
  <c r="S41" i="34" s="1"/>
  <c r="S45" i="34" s="1"/>
  <c r="S51" i="34"/>
  <c r="G42" i="34"/>
  <c r="G45" i="34"/>
  <c r="G15" i="34"/>
  <c r="V15" i="34"/>
  <c r="M33" i="34"/>
  <c r="S18" i="34"/>
  <c r="K33" i="34"/>
  <c r="N99" i="12"/>
  <c r="V33" i="34" l="1"/>
  <c r="AB15" i="34"/>
  <c r="Y63" i="34"/>
  <c r="Y105" i="34" s="1"/>
  <c r="AB65" i="34"/>
  <c r="AB63" i="34" s="1"/>
  <c r="AB105" i="34" s="1"/>
  <c r="V63" i="34"/>
  <c r="V105" i="34" s="1"/>
  <c r="X45" i="34"/>
  <c r="AD41" i="34"/>
  <c r="AC42" i="34"/>
  <c r="AC45" i="34" s="1"/>
  <c r="W41" i="34"/>
  <c r="Y42" i="34"/>
  <c r="Y41" i="34" s="1"/>
  <c r="W63" i="34"/>
  <c r="W105" i="34" s="1"/>
  <c r="AC64" i="34"/>
  <c r="AC63" i="34" s="1"/>
  <c r="AC105" i="34" s="1"/>
  <c r="Q56" i="34"/>
  <c r="X33" i="34"/>
  <c r="AD15" i="34"/>
  <c r="AB45" i="34"/>
  <c r="AA75" i="34"/>
  <c r="AE75" i="34" s="1"/>
  <c r="Y75" i="34"/>
  <c r="O33" i="34"/>
  <c r="W15" i="34"/>
  <c r="AB41" i="34"/>
  <c r="V45" i="34"/>
  <c r="AA63" i="34"/>
  <c r="AA105" i="34" s="1"/>
  <c r="V110" i="34"/>
  <c r="AB22" i="34"/>
  <c r="AB110" i="34" s="1"/>
  <c r="X63" i="34"/>
  <c r="X105" i="34" s="1"/>
  <c r="AD64" i="34"/>
  <c r="AD63" i="34" s="1"/>
  <c r="AD105" i="34" s="1"/>
  <c r="W110" i="34"/>
  <c r="AC22" i="34"/>
  <c r="AC110" i="34" s="1"/>
  <c r="AA36" i="34"/>
  <c r="U38" i="34"/>
  <c r="Y36" i="34"/>
  <c r="Y38" i="34" s="1"/>
  <c r="Y65" i="34"/>
  <c r="U59" i="34"/>
  <c r="AA50" i="34"/>
  <c r="Y50" i="34"/>
  <c r="Y22" i="34"/>
  <c r="Y110" i="34" s="1"/>
  <c r="Y21" i="34"/>
  <c r="AA21" i="34"/>
  <c r="AE21" i="34" s="1"/>
  <c r="U33" i="34"/>
  <c r="W56" i="34"/>
  <c r="O48" i="34"/>
  <c r="S56" i="34"/>
  <c r="S59" i="34" s="1"/>
  <c r="O59" i="34"/>
  <c r="X110" i="34"/>
  <c r="AD22" i="34"/>
  <c r="AD110" i="34" s="1"/>
  <c r="AD51" i="34"/>
  <c r="AE51" i="34" s="1"/>
  <c r="Y51" i="34"/>
  <c r="AA110" i="34"/>
  <c r="X38" i="34"/>
  <c r="AD36" i="34"/>
  <c r="AD38" i="34" s="1"/>
  <c r="S15" i="34"/>
  <c r="S33" i="34" s="1"/>
  <c r="N65" i="12"/>
  <c r="AA33" i="34" l="1"/>
  <c r="W33" i="34"/>
  <c r="AC15" i="34"/>
  <c r="S48" i="34"/>
  <c r="AE22" i="34"/>
  <c r="AE110" i="34" s="1"/>
  <c r="AC56" i="34"/>
  <c r="Y56" i="34"/>
  <c r="Y59" i="34" s="1"/>
  <c r="W59" i="34"/>
  <c r="AE64" i="34"/>
  <c r="X56" i="34"/>
  <c r="Q48" i="34"/>
  <c r="Q59" i="34"/>
  <c r="Y45" i="34"/>
  <c r="AE41" i="34"/>
  <c r="AB33" i="34"/>
  <c r="AA38" i="34"/>
  <c r="AE36" i="34"/>
  <c r="AE38" i="34" s="1"/>
  <c r="G56" i="34"/>
  <c r="G59" i="34"/>
  <c r="AA59" i="34"/>
  <c r="AE50" i="34"/>
  <c r="G34" i="34"/>
  <c r="G33" i="34"/>
  <c r="AE42" i="34"/>
  <c r="AE45" i="34" s="1"/>
  <c r="AE65" i="34"/>
  <c r="AD33" i="34"/>
  <c r="Y15" i="34"/>
  <c r="Y33" i="34" s="1"/>
  <c r="AC41" i="34"/>
  <c r="W45" i="34"/>
  <c r="M88" i="12"/>
  <c r="M81" i="12"/>
  <c r="M74" i="12"/>
  <c r="M63" i="12"/>
  <c r="M59" i="12"/>
  <c r="O55" i="12"/>
  <c r="O22" i="12"/>
  <c r="N23" i="12"/>
  <c r="O24" i="12"/>
  <c r="O23" i="12"/>
  <c r="O25" i="12"/>
  <c r="O26" i="12"/>
  <c r="O27" i="12"/>
  <c r="O28" i="12"/>
  <c r="O29" i="12"/>
  <c r="O30" i="12"/>
  <c r="M21" i="12"/>
  <c r="M14" i="12"/>
  <c r="F103" i="12"/>
  <c r="O102" i="12"/>
  <c r="B103" i="12"/>
  <c r="G58" i="31"/>
  <c r="F53" i="31"/>
  <c r="G53" i="31" s="1"/>
  <c r="F54" i="31"/>
  <c r="G54" i="31" s="1"/>
  <c r="F55" i="31"/>
  <c r="G55" i="31" s="1"/>
  <c r="F56" i="31"/>
  <c r="G56" i="31" s="1"/>
  <c r="F57" i="31"/>
  <c r="G57" i="31" s="1"/>
  <c r="F58" i="31"/>
  <c r="F59" i="31"/>
  <c r="G59" i="31" s="1"/>
  <c r="F49" i="31"/>
  <c r="G49" i="31" s="1"/>
  <c r="F50" i="31"/>
  <c r="G50" i="31" s="1"/>
  <c r="F51" i="31"/>
  <c r="G51" i="31" s="1"/>
  <c r="F52" i="31"/>
  <c r="G52" i="31" s="1"/>
  <c r="F48" i="31"/>
  <c r="K17" i="12"/>
  <c r="I17" i="12"/>
  <c r="O17" i="12" s="1"/>
  <c r="N17" i="12"/>
  <c r="N19" i="12"/>
  <c r="N20" i="12"/>
  <c r="G110" i="34" l="1"/>
  <c r="AD56" i="34"/>
  <c r="AD59" i="34" s="1"/>
  <c r="X59" i="34"/>
  <c r="AE63" i="34"/>
  <c r="AE105" i="34" s="1"/>
  <c r="AC33" i="34"/>
  <c r="AE15" i="34"/>
  <c r="AE33" i="34" s="1"/>
  <c r="AE56" i="34"/>
  <c r="AE59" i="34" s="1"/>
  <c r="AC59" i="34"/>
  <c r="G107" i="34"/>
  <c r="N44" i="12"/>
  <c r="M33" i="12"/>
  <c r="M105" i="12"/>
  <c r="F44" i="12"/>
  <c r="P44" i="12" s="1"/>
  <c r="O21" i="12"/>
  <c r="L17" i="12"/>
  <c r="L103" i="12"/>
  <c r="H17" i="12"/>
  <c r="J103" i="12"/>
  <c r="H103" i="12"/>
  <c r="J17" i="12"/>
  <c r="F17" i="12"/>
  <c r="F60" i="31"/>
  <c r="G48" i="31"/>
  <c r="G60" i="31" s="1"/>
  <c r="F61" i="31" l="1"/>
  <c r="P103" i="12"/>
  <c r="M106" i="12"/>
  <c r="M107" i="12" s="1"/>
  <c r="M109" i="12" s="1"/>
  <c r="P17" i="12"/>
  <c r="F63" i="31"/>
  <c r="G7" i="26"/>
  <c r="L7" i="26" s="1"/>
  <c r="N7" i="26" s="1"/>
  <c r="P7" i="26" s="1"/>
  <c r="J7" i="26"/>
  <c r="K7" i="26"/>
  <c r="H25" i="26"/>
  <c r="E25" i="26"/>
  <c r="H11" i="26"/>
  <c r="M11" i="26"/>
  <c r="E11" i="26"/>
  <c r="N102" i="12" l="1"/>
  <c r="H102" i="12"/>
  <c r="F102" i="12"/>
  <c r="L102" i="12"/>
  <c r="J102" i="12"/>
  <c r="O11" i="26"/>
  <c r="G10" i="26"/>
  <c r="J10" i="26"/>
  <c r="K10" i="26"/>
  <c r="F38" i="31"/>
  <c r="G38" i="31" s="1"/>
  <c r="J6" i="26"/>
  <c r="J5" i="26"/>
  <c r="J21" i="26"/>
  <c r="J20" i="26"/>
  <c r="J19" i="26"/>
  <c r="J18" i="26"/>
  <c r="J17" i="26"/>
  <c r="J16" i="26"/>
  <c r="J15" i="26"/>
  <c r="I15" i="26"/>
  <c r="K17" i="26"/>
  <c r="K19" i="26"/>
  <c r="K21" i="26"/>
  <c r="K20" i="26"/>
  <c r="K5" i="26"/>
  <c r="I5" i="26"/>
  <c r="G5" i="26"/>
  <c r="O71" i="12"/>
  <c r="N71" i="12" l="1"/>
  <c r="F71" i="12"/>
  <c r="H71" i="12"/>
  <c r="P102" i="12"/>
  <c r="L71" i="12"/>
  <c r="J71" i="12"/>
  <c r="L10" i="26"/>
  <c r="N10" i="26" s="1"/>
  <c r="P10" i="26" s="1"/>
  <c r="L21" i="26"/>
  <c r="N21" i="26" s="1"/>
  <c r="P21" i="26" s="1"/>
  <c r="I25" i="26"/>
  <c r="L20" i="26"/>
  <c r="N20" i="26" s="1"/>
  <c r="P20" i="26" s="1"/>
  <c r="L17" i="26"/>
  <c r="N17" i="26" s="1"/>
  <c r="P17" i="26" s="1"/>
  <c r="L19" i="26"/>
  <c r="N19" i="26" s="1"/>
  <c r="P19" i="26" s="1"/>
  <c r="L5" i="26"/>
  <c r="K19" i="12"/>
  <c r="I19" i="12"/>
  <c r="O19" i="12" s="1"/>
  <c r="E88" i="12"/>
  <c r="G88" i="12"/>
  <c r="I88" i="12"/>
  <c r="K88" i="12"/>
  <c r="E81" i="12"/>
  <c r="G81" i="12"/>
  <c r="I81" i="12"/>
  <c r="K81" i="12"/>
  <c r="E74" i="12"/>
  <c r="G74" i="12"/>
  <c r="I74" i="12"/>
  <c r="K74" i="12"/>
  <c r="E63" i="12"/>
  <c r="G63" i="12"/>
  <c r="I63" i="12"/>
  <c r="K63" i="12"/>
  <c r="E21" i="12"/>
  <c r="F11" i="26"/>
  <c r="I11" i="26"/>
  <c r="P71" i="12" l="1"/>
  <c r="F28" i="12"/>
  <c r="N28" i="12"/>
  <c r="H98" i="12"/>
  <c r="F98" i="12"/>
  <c r="L28" i="12"/>
  <c r="H28" i="12"/>
  <c r="J28" i="12"/>
  <c r="N24" i="12"/>
  <c r="N26" i="12"/>
  <c r="N27" i="12"/>
  <c r="O96" i="12"/>
  <c r="O89" i="12"/>
  <c r="O90" i="12"/>
  <c r="O91" i="12"/>
  <c r="O92" i="12"/>
  <c r="O93" i="12"/>
  <c r="O94" i="12"/>
  <c r="O95" i="12"/>
  <c r="O97" i="12"/>
  <c r="O99" i="12"/>
  <c r="O100" i="12"/>
  <c r="O101" i="12"/>
  <c r="L99" i="12"/>
  <c r="J99" i="12"/>
  <c r="H99" i="12"/>
  <c r="F99" i="12"/>
  <c r="O83" i="12"/>
  <c r="O84" i="12"/>
  <c r="O85" i="12"/>
  <c r="O86" i="12"/>
  <c r="O69" i="12"/>
  <c r="O70" i="12"/>
  <c r="O67" i="12"/>
  <c r="O68" i="12"/>
  <c r="B43" i="31"/>
  <c r="F40" i="31"/>
  <c r="G40" i="31" s="1"/>
  <c r="F39" i="31"/>
  <c r="G39" i="31" s="1"/>
  <c r="F37" i="31"/>
  <c r="G37" i="31" s="1"/>
  <c r="F36" i="31"/>
  <c r="G36" i="31" s="1"/>
  <c r="F35" i="31"/>
  <c r="G35" i="31" s="1"/>
  <c r="F34" i="31"/>
  <c r="B31" i="31"/>
  <c r="F28" i="31"/>
  <c r="G28" i="31" s="1"/>
  <c r="F27" i="31"/>
  <c r="G27" i="31" s="1"/>
  <c r="F26" i="31"/>
  <c r="G26" i="31" s="1"/>
  <c r="F25" i="31"/>
  <c r="G25" i="31" s="1"/>
  <c r="F24" i="31"/>
  <c r="G24" i="31" s="1"/>
  <c r="F23" i="31"/>
  <c r="F22" i="31"/>
  <c r="G22" i="31" s="1"/>
  <c r="B19" i="31"/>
  <c r="F15" i="31"/>
  <c r="G15" i="31" s="1"/>
  <c r="F14" i="31"/>
  <c r="G14" i="31" s="1"/>
  <c r="F13" i="31"/>
  <c r="G13" i="31" s="1"/>
  <c r="F12" i="31"/>
  <c r="G12" i="31" s="1"/>
  <c r="F11" i="31"/>
  <c r="G11" i="31" s="1"/>
  <c r="F10" i="31"/>
  <c r="G10" i="31" s="1"/>
  <c r="F9" i="31"/>
  <c r="G9" i="31" s="1"/>
  <c r="F8" i="31"/>
  <c r="G8" i="31" s="1"/>
  <c r="B5" i="31"/>
  <c r="P99" i="12" l="1"/>
  <c r="P98" i="12"/>
  <c r="P28" i="12"/>
  <c r="P5" i="26"/>
  <c r="H27" i="12"/>
  <c r="F27" i="12"/>
  <c r="L27" i="12"/>
  <c r="J27" i="12"/>
  <c r="H26" i="12"/>
  <c r="L26" i="12"/>
  <c r="F26" i="12"/>
  <c r="J26" i="12"/>
  <c r="J24" i="12"/>
  <c r="L24" i="12"/>
  <c r="H24" i="12"/>
  <c r="F24" i="12"/>
  <c r="O88" i="12"/>
  <c r="F41" i="31"/>
  <c r="G34" i="31"/>
  <c r="G41" i="31" s="1"/>
  <c r="F29" i="31"/>
  <c r="G23" i="31"/>
  <c r="G29" i="31" s="1"/>
  <c r="G16" i="31"/>
  <c r="F16" i="31"/>
  <c r="E14" i="12"/>
  <c r="G14" i="12"/>
  <c r="N101" i="12" l="1"/>
  <c r="P24" i="12"/>
  <c r="J92" i="12"/>
  <c r="H92" i="12"/>
  <c r="N92" i="12"/>
  <c r="P27" i="12"/>
  <c r="P26" i="12"/>
  <c r="N15" i="12"/>
  <c r="J19" i="12"/>
  <c r="L19" i="12"/>
  <c r="F19" i="12"/>
  <c r="H19" i="12"/>
  <c r="J101" i="12"/>
  <c r="F101" i="12"/>
  <c r="H101" i="12"/>
  <c r="L101" i="12"/>
  <c r="L92" i="12"/>
  <c r="F68" i="12"/>
  <c r="N70" i="12"/>
  <c r="N63" i="12" s="1"/>
  <c r="F92" i="12"/>
  <c r="J84" i="12"/>
  <c r="J67" i="12"/>
  <c r="J66" i="12"/>
  <c r="N93" i="12"/>
  <c r="AA71" i="12"/>
  <c r="AH71" i="12" s="1"/>
  <c r="AN71" i="12" s="1"/>
  <c r="J65" i="12" l="1"/>
  <c r="L65" i="12"/>
  <c r="H96" i="12"/>
  <c r="N96" i="12"/>
  <c r="N77" i="12"/>
  <c r="P92" i="12"/>
  <c r="N86" i="12"/>
  <c r="J86" i="12"/>
  <c r="H86" i="12"/>
  <c r="N85" i="12"/>
  <c r="D63" i="12"/>
  <c r="N78" i="12"/>
  <c r="J82" i="12"/>
  <c r="N82" i="12"/>
  <c r="P101" i="12"/>
  <c r="J75" i="12"/>
  <c r="N75" i="12"/>
  <c r="P19" i="12"/>
  <c r="N76" i="12"/>
  <c r="F91" i="12"/>
  <c r="H84" i="12"/>
  <c r="F84" i="12"/>
  <c r="J70" i="12"/>
  <c r="F70" i="12"/>
  <c r="F83" i="12"/>
  <c r="H83" i="12"/>
  <c r="H70" i="12"/>
  <c r="J83" i="12"/>
  <c r="L70" i="12"/>
  <c r="H64" i="12"/>
  <c r="J64" i="12"/>
  <c r="L69" i="12"/>
  <c r="J69" i="12"/>
  <c r="L75" i="12"/>
  <c r="D81" i="12"/>
  <c r="H91" i="12"/>
  <c r="L91" i="12"/>
  <c r="J91" i="12"/>
  <c r="F69" i="12"/>
  <c r="F85" i="12"/>
  <c r="H68" i="12"/>
  <c r="H94" i="12"/>
  <c r="J94" i="12"/>
  <c r="F94" i="12"/>
  <c r="L94" i="12"/>
  <c r="L96" i="12"/>
  <c r="J96" i="12"/>
  <c r="F96" i="12"/>
  <c r="F67" i="12"/>
  <c r="J68" i="12"/>
  <c r="H85" i="12"/>
  <c r="H67" i="12"/>
  <c r="L68" i="12"/>
  <c r="F86" i="12"/>
  <c r="F93" i="12"/>
  <c r="J93" i="12"/>
  <c r="H93" i="12"/>
  <c r="L93" i="12"/>
  <c r="H95" i="12"/>
  <c r="J95" i="12"/>
  <c r="L95" i="12"/>
  <c r="F95" i="12"/>
  <c r="F90" i="12"/>
  <c r="L90" i="12"/>
  <c r="J90" i="12"/>
  <c r="H90" i="12"/>
  <c r="J85" i="12"/>
  <c r="H75" i="12"/>
  <c r="D74" i="12"/>
  <c r="L97" i="12"/>
  <c r="F97" i="12"/>
  <c r="H97" i="12"/>
  <c r="J97" i="12"/>
  <c r="H69" i="12"/>
  <c r="P68" i="12" l="1"/>
  <c r="P91" i="12"/>
  <c r="N81" i="12"/>
  <c r="P85" i="12"/>
  <c r="P95" i="12"/>
  <c r="P67" i="12"/>
  <c r="P93" i="12"/>
  <c r="P84" i="12"/>
  <c r="P69" i="12"/>
  <c r="P83" i="12"/>
  <c r="P90" i="12"/>
  <c r="P96" i="12"/>
  <c r="P86" i="12"/>
  <c r="L89" i="12"/>
  <c r="N89" i="12"/>
  <c r="P94" i="12"/>
  <c r="P97" i="12"/>
  <c r="P70" i="12"/>
  <c r="N74" i="12"/>
  <c r="F89" i="12"/>
  <c r="H89" i="12"/>
  <c r="J89" i="12"/>
  <c r="H73" i="12"/>
  <c r="P89" i="12" l="1"/>
  <c r="Q71" i="12"/>
  <c r="F31" i="12" l="1"/>
  <c r="G15" i="26"/>
  <c r="G25" i="26" s="1"/>
  <c r="F15" i="26"/>
  <c r="F25" i="26" s="1"/>
  <c r="K16" i="26"/>
  <c r="K18" i="26"/>
  <c r="K22" i="26"/>
  <c r="K23" i="26"/>
  <c r="J22" i="26"/>
  <c r="J23" i="26"/>
  <c r="K21" i="12"/>
  <c r="I21" i="12"/>
  <c r="G21" i="12"/>
  <c r="J25" i="26" l="1"/>
  <c r="L18" i="26"/>
  <c r="N18" i="26" s="1"/>
  <c r="P18" i="26" s="1"/>
  <c r="L22" i="26"/>
  <c r="N22" i="26" s="1"/>
  <c r="L23" i="26"/>
  <c r="N23" i="26" s="1"/>
  <c r="H79" i="12"/>
  <c r="E59" i="12" l="1"/>
  <c r="G59" i="12"/>
  <c r="I59" i="12"/>
  <c r="K59" i="12"/>
  <c r="E45" i="12"/>
  <c r="G45" i="12"/>
  <c r="I45" i="12"/>
  <c r="K45" i="12"/>
  <c r="E38" i="12"/>
  <c r="E33" i="12"/>
  <c r="E105" i="12"/>
  <c r="G105" i="12"/>
  <c r="I105" i="12"/>
  <c r="K105" i="12"/>
  <c r="O50" i="12"/>
  <c r="O51" i="12"/>
  <c r="O52" i="12"/>
  <c r="O53" i="12"/>
  <c r="O54" i="12"/>
  <c r="O56" i="12"/>
  <c r="O57" i="12"/>
  <c r="O49" i="12"/>
  <c r="D38" i="12"/>
  <c r="K20" i="12"/>
  <c r="K15" i="26"/>
  <c r="K25" i="26" s="1"/>
  <c r="K6" i="26"/>
  <c r="K8" i="26"/>
  <c r="K9" i="26"/>
  <c r="J8" i="26"/>
  <c r="J9" i="26"/>
  <c r="J87" i="12"/>
  <c r="K11" i="26" l="1"/>
  <c r="J11" i="26"/>
  <c r="L16" i="26"/>
  <c r="N16" i="26" s="1"/>
  <c r="O59" i="12"/>
  <c r="D88" i="12" l="1"/>
  <c r="N100" i="12"/>
  <c r="N88" i="12" s="1"/>
  <c r="N105" i="12" s="1"/>
  <c r="J100" i="12"/>
  <c r="J88" i="12" s="1"/>
  <c r="H100" i="12"/>
  <c r="H88" i="12" s="1"/>
  <c r="F100" i="12"/>
  <c r="F88" i="12" s="1"/>
  <c r="L100" i="12"/>
  <c r="L88" i="12" l="1"/>
  <c r="P100" i="12"/>
  <c r="P88" i="12"/>
  <c r="F42" i="12" l="1"/>
  <c r="N42" i="12"/>
  <c r="E106" i="12" l="1"/>
  <c r="Q88" i="12"/>
  <c r="I9" i="31"/>
  <c r="N43" i="12" l="1"/>
  <c r="N53" i="12"/>
  <c r="F54" i="12" l="1"/>
  <c r="L66" i="12"/>
  <c r="F51" i="12"/>
  <c r="F52" i="12"/>
  <c r="F50" i="12"/>
  <c r="N55" i="12"/>
  <c r="H78" i="12"/>
  <c r="F53" i="12"/>
  <c r="H56" i="12"/>
  <c r="J56" i="12" s="1"/>
  <c r="L56" i="12" s="1"/>
  <c r="H57" i="12"/>
  <c r="J57" i="12" s="1"/>
  <c r="L57" i="12" s="1"/>
  <c r="L77" i="12"/>
  <c r="N57" i="12" l="1"/>
  <c r="N56" i="12"/>
  <c r="N59" i="12"/>
  <c r="H55" i="12"/>
  <c r="F55" i="12"/>
  <c r="L55" i="12"/>
  <c r="J55" i="12"/>
  <c r="H54" i="12"/>
  <c r="L54" i="12"/>
  <c r="J54" i="12"/>
  <c r="F56" i="12"/>
  <c r="P56" i="12" s="1"/>
  <c r="F57" i="12"/>
  <c r="P57" i="12" s="1"/>
  <c r="D105" i="12"/>
  <c r="J81" i="12"/>
  <c r="P54" i="12" l="1"/>
  <c r="P55" i="12"/>
  <c r="F49" i="12"/>
  <c r="D59" i="12"/>
  <c r="F59" i="12"/>
  <c r="Q54" i="12"/>
  <c r="Q55" i="12"/>
  <c r="G8" i="26"/>
  <c r="L8" i="26" s="1"/>
  <c r="D45" i="12"/>
  <c r="J72" i="12"/>
  <c r="P72" i="12" s="1"/>
  <c r="E107" i="12"/>
  <c r="C59" i="12"/>
  <c r="C45" i="12"/>
  <c r="G38" i="12"/>
  <c r="I38" i="12"/>
  <c r="K38" i="12"/>
  <c r="O38" i="12"/>
  <c r="J63" i="12" l="1"/>
  <c r="G33" i="12"/>
  <c r="C105" i="12"/>
  <c r="G106" i="12" l="1"/>
  <c r="G107" i="12" s="1"/>
  <c r="L15" i="26" l="1"/>
  <c r="G6" i="26"/>
  <c r="G9" i="26"/>
  <c r="L9" i="26" s="1"/>
  <c r="G11" i="26" l="1"/>
  <c r="L6" i="26"/>
  <c r="L11" i="26" s="1"/>
  <c r="N15" i="26"/>
  <c r="N25" i="26" s="1"/>
  <c r="L25" i="26"/>
  <c r="F64" i="12" l="1"/>
  <c r="L64" i="12"/>
  <c r="L63" i="12" s="1"/>
  <c r="O43" i="12"/>
  <c r="O44" i="12"/>
  <c r="O42" i="12"/>
  <c r="I16" i="12"/>
  <c r="K16" i="12"/>
  <c r="I18" i="12"/>
  <c r="O18" i="12" s="1"/>
  <c r="K18" i="12"/>
  <c r="I20" i="12"/>
  <c r="O20" i="12" s="1"/>
  <c r="P64" i="12" l="1"/>
  <c r="O16" i="12"/>
  <c r="O45" i="12"/>
  <c r="P22" i="26"/>
  <c r="N29" i="12" l="1"/>
  <c r="J42" i="12"/>
  <c r="H42" i="12"/>
  <c r="F29" i="12" l="1"/>
  <c r="J29" i="12"/>
  <c r="H29" i="12"/>
  <c r="L29" i="12"/>
  <c r="P29" i="12" l="1"/>
  <c r="O25" i="26"/>
  <c r="A122" i="26" l="1"/>
  <c r="A93" i="26"/>
  <c r="P16" i="26" l="1"/>
  <c r="P15" i="26"/>
  <c r="N6" i="26"/>
  <c r="N25" i="12" l="1"/>
  <c r="P6" i="26"/>
  <c r="H43" i="12"/>
  <c r="H45" i="12" s="1"/>
  <c r="L43" i="12"/>
  <c r="J43" i="12"/>
  <c r="J45" i="12" s="1"/>
  <c r="F43" i="12"/>
  <c r="N22" i="12" l="1"/>
  <c r="J22" i="12"/>
  <c r="P43" i="12"/>
  <c r="L25" i="12"/>
  <c r="H25" i="12"/>
  <c r="J25" i="12"/>
  <c r="F25" i="12"/>
  <c r="L22" i="12"/>
  <c r="N16" i="12"/>
  <c r="J23" i="12"/>
  <c r="H23" i="12"/>
  <c r="F23" i="12"/>
  <c r="L23" i="12"/>
  <c r="P25" i="12" l="1"/>
  <c r="P23" i="12"/>
  <c r="F16" i="12"/>
  <c r="J16" i="12"/>
  <c r="L16" i="12"/>
  <c r="H16" i="12"/>
  <c r="F45" i="12"/>
  <c r="H87" i="12"/>
  <c r="H82" i="12"/>
  <c r="L76" i="12"/>
  <c r="L78" i="12"/>
  <c r="L79" i="12"/>
  <c r="J76" i="12"/>
  <c r="J77" i="12"/>
  <c r="J78" i="12"/>
  <c r="J79" i="12"/>
  <c r="H76" i="12"/>
  <c r="H77" i="12"/>
  <c r="H65" i="12"/>
  <c r="H66" i="12"/>
  <c r="L49" i="12"/>
  <c r="L50" i="12"/>
  <c r="L51" i="12"/>
  <c r="L52" i="12"/>
  <c r="L53" i="12"/>
  <c r="J49" i="12"/>
  <c r="J50" i="12"/>
  <c r="J51" i="12"/>
  <c r="J52" i="12"/>
  <c r="J53" i="12"/>
  <c r="H49" i="12"/>
  <c r="H50" i="12"/>
  <c r="H51" i="12"/>
  <c r="H52" i="12"/>
  <c r="H53" i="12"/>
  <c r="P52" i="12" l="1"/>
  <c r="P51" i="12"/>
  <c r="H63" i="12"/>
  <c r="P50" i="12"/>
  <c r="P53" i="12"/>
  <c r="P49" i="12"/>
  <c r="P79" i="12"/>
  <c r="L81" i="12"/>
  <c r="P87" i="12"/>
  <c r="L74" i="12"/>
  <c r="P16" i="12"/>
  <c r="H81" i="12"/>
  <c r="H59" i="12"/>
  <c r="J59" i="12"/>
  <c r="L59" i="12"/>
  <c r="K15" i="12"/>
  <c r="K14" i="12" s="1"/>
  <c r="I15" i="12"/>
  <c r="P59" i="12" l="1"/>
  <c r="I14" i="12"/>
  <c r="I33" i="12" s="1"/>
  <c r="O15" i="12"/>
  <c r="O14" i="12" s="1"/>
  <c r="K33" i="12"/>
  <c r="H3" i="22"/>
  <c r="I106" i="12" l="1"/>
  <c r="I107" i="12" s="1"/>
  <c r="K106" i="12"/>
  <c r="K107" i="12" s="1"/>
  <c r="A21" i="22" l="1"/>
  <c r="A15" i="22"/>
  <c r="A9" i="22"/>
  <c r="A3" i="22"/>
  <c r="O78" i="12"/>
  <c r="F78" i="12"/>
  <c r="P78" i="12" s="1"/>
  <c r="O66" i="12"/>
  <c r="Y53" i="12"/>
  <c r="AG53" i="12" s="1"/>
  <c r="AM53" i="12" s="1"/>
  <c r="E10" i="22"/>
  <c r="D10" i="22"/>
  <c r="F4" i="22"/>
  <c r="D4" i="22"/>
  <c r="E22" i="22"/>
  <c r="F22" i="22"/>
  <c r="F73" i="12"/>
  <c r="J73" i="12"/>
  <c r="L73" i="12"/>
  <c r="C10" i="22" l="1"/>
  <c r="C4" i="22"/>
  <c r="E4" i="22"/>
  <c r="D22" i="22"/>
  <c r="C22" i="22"/>
  <c r="F10" i="22"/>
  <c r="Q86" i="12"/>
  <c r="P73" i="12"/>
  <c r="Q73" i="12" s="1"/>
  <c r="Q87" i="12" l="1"/>
  <c r="G10" i="22"/>
  <c r="G4" i="22"/>
  <c r="G22" i="22"/>
  <c r="Y52" i="12"/>
  <c r="AG52" i="12" s="1"/>
  <c r="AM52" i="12" s="1"/>
  <c r="H44" i="20"/>
  <c r="E44" i="20"/>
  <c r="O43" i="20"/>
  <c r="J43" i="20"/>
  <c r="I43" i="20"/>
  <c r="F43" i="20"/>
  <c r="G43" i="20" s="1"/>
  <c r="J42" i="20"/>
  <c r="I42" i="20"/>
  <c r="K42" i="20" s="1"/>
  <c r="F42" i="20"/>
  <c r="G42" i="20" s="1"/>
  <c r="O41" i="20"/>
  <c r="J41" i="20"/>
  <c r="I41" i="20"/>
  <c r="F41" i="20"/>
  <c r="G41" i="20" s="1"/>
  <c r="J40" i="20"/>
  <c r="I40" i="20"/>
  <c r="F40" i="20"/>
  <c r="G40" i="20" s="1"/>
  <c r="J39" i="20"/>
  <c r="I39" i="20"/>
  <c r="K39" i="20" s="1"/>
  <c r="F39" i="20"/>
  <c r="G39" i="20" s="1"/>
  <c r="J38" i="20"/>
  <c r="I38" i="20"/>
  <c r="K38" i="20" s="1"/>
  <c r="F38" i="20"/>
  <c r="G38" i="20" s="1"/>
  <c r="J37" i="20"/>
  <c r="I37" i="20"/>
  <c r="K37" i="20" s="1"/>
  <c r="F37" i="20"/>
  <c r="G37" i="20" s="1"/>
  <c r="J36" i="20"/>
  <c r="I36" i="20"/>
  <c r="K36" i="20" s="1"/>
  <c r="F36" i="20"/>
  <c r="G36" i="20" s="1"/>
  <c r="O35" i="20"/>
  <c r="J35" i="20"/>
  <c r="I35" i="20"/>
  <c r="F35" i="20"/>
  <c r="G35" i="20" s="1"/>
  <c r="J34" i="20"/>
  <c r="I34" i="20"/>
  <c r="F34" i="20"/>
  <c r="G34" i="20" s="1"/>
  <c r="J33" i="20"/>
  <c r="I33" i="20"/>
  <c r="F33" i="20"/>
  <c r="G33" i="20" s="1"/>
  <c r="J32" i="20"/>
  <c r="I32" i="20"/>
  <c r="K32" i="20" s="1"/>
  <c r="F32" i="20"/>
  <c r="G32" i="20" s="1"/>
  <c r="O31" i="20"/>
  <c r="J31" i="20"/>
  <c r="I31" i="20"/>
  <c r="K31" i="20" s="1"/>
  <c r="F31" i="20"/>
  <c r="G31" i="20" s="1"/>
  <c r="J30" i="20"/>
  <c r="I30" i="20"/>
  <c r="K30" i="20" s="1"/>
  <c r="F30" i="20"/>
  <c r="G30" i="20" s="1"/>
  <c r="J29" i="20"/>
  <c r="I29" i="20"/>
  <c r="K29" i="20" s="1"/>
  <c r="F29" i="20"/>
  <c r="G29" i="20" s="1"/>
  <c r="J28" i="20"/>
  <c r="I28" i="20"/>
  <c r="K28" i="20" s="1"/>
  <c r="F28" i="20"/>
  <c r="G28" i="20" s="1"/>
  <c r="J27" i="20"/>
  <c r="I27" i="20"/>
  <c r="K27" i="20" s="1"/>
  <c r="F27" i="20"/>
  <c r="G27" i="20" s="1"/>
  <c r="J26" i="20"/>
  <c r="I26" i="20"/>
  <c r="K26" i="20" s="1"/>
  <c r="F26" i="20"/>
  <c r="G26" i="20" s="1"/>
  <c r="O25" i="20"/>
  <c r="J25" i="20"/>
  <c r="I25" i="20"/>
  <c r="K25" i="20" s="1"/>
  <c r="F25" i="20"/>
  <c r="G25" i="20" s="1"/>
  <c r="O24" i="20"/>
  <c r="J24" i="20"/>
  <c r="I24" i="20"/>
  <c r="F24" i="20"/>
  <c r="G24" i="20" s="1"/>
  <c r="O23" i="20"/>
  <c r="J23" i="20"/>
  <c r="I23" i="20"/>
  <c r="K23" i="20" s="1"/>
  <c r="F23" i="20"/>
  <c r="G23" i="20" s="1"/>
  <c r="O22" i="20"/>
  <c r="J22" i="20"/>
  <c r="I22" i="20"/>
  <c r="K22" i="20" s="1"/>
  <c r="F22" i="20"/>
  <c r="G22" i="20" s="1"/>
  <c r="O21" i="20"/>
  <c r="J21" i="20"/>
  <c r="I21" i="20"/>
  <c r="K21" i="20" s="1"/>
  <c r="F21" i="20"/>
  <c r="G21" i="20" s="1"/>
  <c r="O20" i="20"/>
  <c r="J20" i="20"/>
  <c r="I20" i="20"/>
  <c r="F20" i="20"/>
  <c r="G20" i="20" s="1"/>
  <c r="O19" i="20"/>
  <c r="J19" i="20"/>
  <c r="I19" i="20"/>
  <c r="K19" i="20" s="1"/>
  <c r="F19" i="20"/>
  <c r="G19" i="20" s="1"/>
  <c r="O18" i="20"/>
  <c r="J18" i="20"/>
  <c r="I18" i="20"/>
  <c r="K18" i="20" s="1"/>
  <c r="F18" i="20"/>
  <c r="G18" i="20" s="1"/>
  <c r="J17" i="20"/>
  <c r="I17" i="20"/>
  <c r="K17" i="20" s="1"/>
  <c r="F17" i="20"/>
  <c r="G17" i="20" s="1"/>
  <c r="J16" i="20"/>
  <c r="I16" i="20"/>
  <c r="K16" i="20" s="1"/>
  <c r="F16" i="20"/>
  <c r="G16" i="20" s="1"/>
  <c r="J15" i="20"/>
  <c r="I15" i="20"/>
  <c r="K15" i="20" s="1"/>
  <c r="F15" i="20"/>
  <c r="G15" i="20" s="1"/>
  <c r="J14" i="20"/>
  <c r="I14" i="20"/>
  <c r="F14" i="20"/>
  <c r="G14" i="20" s="1"/>
  <c r="O13" i="20"/>
  <c r="J13" i="20"/>
  <c r="I13" i="20"/>
  <c r="K13" i="20" s="1"/>
  <c r="F13" i="20"/>
  <c r="G13" i="20" s="1"/>
  <c r="O12" i="20"/>
  <c r="J12" i="20"/>
  <c r="I12" i="20"/>
  <c r="F12" i="20"/>
  <c r="G12" i="20" s="1"/>
  <c r="O11" i="20"/>
  <c r="J11" i="20"/>
  <c r="I11" i="20"/>
  <c r="K11" i="20" s="1"/>
  <c r="F11" i="20"/>
  <c r="G11" i="20" s="1"/>
  <c r="O10" i="20"/>
  <c r="J10" i="20"/>
  <c r="I10" i="20"/>
  <c r="F10" i="20"/>
  <c r="G10" i="20" s="1"/>
  <c r="O9" i="20"/>
  <c r="J9" i="20"/>
  <c r="I9" i="20"/>
  <c r="F9" i="20"/>
  <c r="G9" i="20" s="1"/>
  <c r="O8" i="20"/>
  <c r="J8" i="20"/>
  <c r="I8" i="20"/>
  <c r="F8" i="20"/>
  <c r="G8" i="20" s="1"/>
  <c r="J7" i="20"/>
  <c r="I7" i="20"/>
  <c r="F7" i="20"/>
  <c r="G7" i="20" s="1"/>
  <c r="J6" i="20"/>
  <c r="I6" i="20"/>
  <c r="F6" i="20"/>
  <c r="G6" i="20" s="1"/>
  <c r="O5" i="20"/>
  <c r="J5" i="20"/>
  <c r="I5" i="20"/>
  <c r="F5" i="20"/>
  <c r="G5" i="20" s="1"/>
  <c r="J4" i="20"/>
  <c r="I4" i="20"/>
  <c r="F4" i="20"/>
  <c r="G4" i="20" s="1"/>
  <c r="O3" i="20"/>
  <c r="J3" i="20"/>
  <c r="I3" i="20"/>
  <c r="F3" i="20"/>
  <c r="L31" i="20" l="1"/>
  <c r="Q31" i="20" s="1"/>
  <c r="L32" i="20"/>
  <c r="Q32" i="20" s="1"/>
  <c r="K8" i="20"/>
  <c r="K12" i="20"/>
  <c r="L12" i="20" s="1"/>
  <c r="P12" i="20" s="1"/>
  <c r="Q12" i="20" s="1"/>
  <c r="K7" i="20"/>
  <c r="K5" i="20"/>
  <c r="L5" i="20" s="1"/>
  <c r="P5" i="20" s="1"/>
  <c r="Q5" i="20" s="1"/>
  <c r="K6" i="20"/>
  <c r="L6" i="20" s="1"/>
  <c r="P6" i="20" s="1"/>
  <c r="Q6" i="20" s="1"/>
  <c r="K3" i="20"/>
  <c r="L3" i="20" s="1"/>
  <c r="K4" i="20"/>
  <c r="L4" i="20" s="1"/>
  <c r="P4" i="20" s="1"/>
  <c r="Q4" i="20" s="1"/>
  <c r="K41" i="20"/>
  <c r="L41" i="20" s="1"/>
  <c r="Q41" i="20" s="1"/>
  <c r="L38" i="20"/>
  <c r="Q38" i="20" s="1"/>
  <c r="L37" i="20"/>
  <c r="O37" i="20" s="1"/>
  <c r="Q37" i="20" s="1"/>
  <c r="F44" i="20"/>
  <c r="L36" i="20"/>
  <c r="Q36" i="20" s="1"/>
  <c r="L23" i="20"/>
  <c r="Q23" i="20" s="1"/>
  <c r="K9" i="20"/>
  <c r="L9" i="20" s="1"/>
  <c r="L13" i="20"/>
  <c r="P13" i="20" s="1"/>
  <c r="Q13" i="20" s="1"/>
  <c r="L15" i="20"/>
  <c r="Q15" i="20" s="1"/>
  <c r="K20" i="20"/>
  <c r="L20" i="20" s="1"/>
  <c r="Q20" i="20" s="1"/>
  <c r="L22" i="20"/>
  <c r="Q22" i="20" s="1"/>
  <c r="K24" i="20"/>
  <c r="L24" i="20" s="1"/>
  <c r="L26" i="20"/>
  <c r="O26" i="20" s="1"/>
  <c r="L27" i="20"/>
  <c r="O27" i="20" s="1"/>
  <c r="Q27" i="20" s="1"/>
  <c r="L28" i="20"/>
  <c r="O28" i="20" s="1"/>
  <c r="Q28" i="20" s="1"/>
  <c r="L29" i="20"/>
  <c r="Q29" i="20" s="1"/>
  <c r="K35" i="20"/>
  <c r="L35" i="20" s="1"/>
  <c r="Q35" i="20" s="1"/>
  <c r="G3" i="20"/>
  <c r="G44" i="20" s="1"/>
  <c r="L16" i="20"/>
  <c r="L17" i="20"/>
  <c r="L18" i="20"/>
  <c r="Q18" i="20" s="1"/>
  <c r="L30" i="20"/>
  <c r="Q30" i="20" s="1"/>
  <c r="J44" i="20"/>
  <c r="L7" i="20"/>
  <c r="L8" i="20"/>
  <c r="L11" i="20"/>
  <c r="P11" i="20" s="1"/>
  <c r="Q11" i="20" s="1"/>
  <c r="L19" i="20"/>
  <c r="L21" i="20"/>
  <c r="Q21" i="20" s="1"/>
  <c r="L25" i="20"/>
  <c r="Q25" i="20" s="1"/>
  <c r="L39" i="20"/>
  <c r="Q39" i="20" s="1"/>
  <c r="L42" i="20"/>
  <c r="P42" i="20" s="1"/>
  <c r="Q42" i="20" s="1"/>
  <c r="K43" i="20"/>
  <c r="L43" i="20" s="1"/>
  <c r="Q43" i="20" s="1"/>
  <c r="I44" i="20"/>
  <c r="K10" i="20"/>
  <c r="L10" i="20" s="1"/>
  <c r="K14" i="20"/>
  <c r="L14" i="20" s="1"/>
  <c r="Q14" i="20" s="1"/>
  <c r="K33" i="20"/>
  <c r="L33" i="20" s="1"/>
  <c r="K34" i="20"/>
  <c r="L34" i="20" s="1"/>
  <c r="Q34" i="20" s="1"/>
  <c r="K40" i="20"/>
  <c r="L40" i="20" s="1"/>
  <c r="Q40" i="20" s="1"/>
  <c r="Q52" i="12" l="1"/>
  <c r="N9" i="26"/>
  <c r="P16" i="20"/>
  <c r="Q16" i="20" s="1"/>
  <c r="P17" i="20"/>
  <c r="Q17" i="20" s="1"/>
  <c r="Q26" i="20"/>
  <c r="Q24" i="20"/>
  <c r="P9" i="20"/>
  <c r="Q9" i="20" s="1"/>
  <c r="P19" i="20"/>
  <c r="Q19" i="20" s="1"/>
  <c r="P7" i="20"/>
  <c r="Q7" i="20" s="1"/>
  <c r="Q8" i="20"/>
  <c r="P10" i="20"/>
  <c r="Q10" i="20" s="1"/>
  <c r="O33" i="20"/>
  <c r="O44" i="20" s="1"/>
  <c r="L44" i="20"/>
  <c r="K46" i="20" s="1"/>
  <c r="P3" i="20"/>
  <c r="K44" i="20"/>
  <c r="P9" i="26" l="1"/>
  <c r="P24" i="26"/>
  <c r="Q33" i="20"/>
  <c r="P23" i="26"/>
  <c r="P44" i="20"/>
  <c r="Q3" i="20"/>
  <c r="H20" i="12" l="1"/>
  <c r="N30" i="12"/>
  <c r="Q44" i="20"/>
  <c r="N8" i="26"/>
  <c r="N11" i="26" s="1"/>
  <c r="AA65" i="12"/>
  <c r="AH65" i="12" s="1"/>
  <c r="AN65" i="12" s="1"/>
  <c r="W65" i="12"/>
  <c r="AF65" i="12" s="1"/>
  <c r="AL65" i="12" s="1"/>
  <c r="F65" i="12"/>
  <c r="AA66" i="12"/>
  <c r="AH66" i="12" s="1"/>
  <c r="AN66" i="12" s="1"/>
  <c r="W66" i="12"/>
  <c r="AF66" i="12" s="1"/>
  <c r="AL66" i="12" s="1"/>
  <c r="F66" i="12"/>
  <c r="P66" i="12" s="1"/>
  <c r="AA72" i="12"/>
  <c r="AH72" i="12" s="1"/>
  <c r="Y72" i="12"/>
  <c r="AG72" i="12" s="1"/>
  <c r="AM72" i="12" s="1"/>
  <c r="W72" i="12"/>
  <c r="AF72" i="12" s="1"/>
  <c r="AL72" i="12" s="1"/>
  <c r="U72" i="12"/>
  <c r="AA76" i="12"/>
  <c r="AH76" i="12" s="1"/>
  <c r="AN76" i="12" s="1"/>
  <c r="L80" i="12"/>
  <c r="L105" i="12" s="1"/>
  <c r="J80" i="12"/>
  <c r="J74" i="12" s="1"/>
  <c r="H80" i="12"/>
  <c r="H74" i="12" s="1"/>
  <c r="F80" i="12"/>
  <c r="F82" i="12"/>
  <c r="P82" i="12" s="1"/>
  <c r="P81" i="12" s="1"/>
  <c r="AA56" i="12"/>
  <c r="AH56" i="12" s="1"/>
  <c r="AN56" i="12" s="1"/>
  <c r="L36" i="12"/>
  <c r="AA36" i="12" s="1"/>
  <c r="AH36" i="12" s="1"/>
  <c r="J36" i="12"/>
  <c r="Y36" i="12" s="1"/>
  <c r="AG36" i="12" s="1"/>
  <c r="AM36" i="12" s="1"/>
  <c r="H36" i="12"/>
  <c r="F36" i="12"/>
  <c r="L37" i="12"/>
  <c r="T98" i="18"/>
  <c r="T99" i="18"/>
  <c r="T100" i="18"/>
  <c r="T101" i="18"/>
  <c r="T102" i="18"/>
  <c r="T103" i="18"/>
  <c r="T104" i="18"/>
  <c r="T105" i="18"/>
  <c r="G2" i="17"/>
  <c r="H2" i="17"/>
  <c r="J2" i="17"/>
  <c r="E2" i="17"/>
  <c r="E11" i="17"/>
  <c r="G10" i="17"/>
  <c r="H10" i="17"/>
  <c r="J10" i="17"/>
  <c r="G3" i="17"/>
  <c r="H3" i="17"/>
  <c r="J3" i="17"/>
  <c r="G4" i="17"/>
  <c r="H4" i="17"/>
  <c r="J4" i="17"/>
  <c r="G5" i="17"/>
  <c r="H5" i="17"/>
  <c r="J5" i="17"/>
  <c r="G6" i="17"/>
  <c r="H6" i="17"/>
  <c r="J6" i="17"/>
  <c r="G7" i="17"/>
  <c r="H7" i="17"/>
  <c r="J7" i="17"/>
  <c r="G8" i="17"/>
  <c r="H8" i="17"/>
  <c r="J8" i="17"/>
  <c r="G9" i="17"/>
  <c r="H9" i="17"/>
  <c r="J9" i="17"/>
  <c r="G11" i="17"/>
  <c r="H11" i="17"/>
  <c r="J11" i="17"/>
  <c r="G12" i="17"/>
  <c r="H12" i="17"/>
  <c r="J12" i="17"/>
  <c r="G13" i="17"/>
  <c r="H13" i="17"/>
  <c r="J13" i="17"/>
  <c r="G14" i="17"/>
  <c r="H14" i="17"/>
  <c r="J14" i="17"/>
  <c r="G15" i="17"/>
  <c r="H15" i="17"/>
  <c r="J15" i="17"/>
  <c r="G16" i="17"/>
  <c r="H16" i="17"/>
  <c r="J16" i="17"/>
  <c r="G17" i="17"/>
  <c r="H17" i="17"/>
  <c r="J17" i="17"/>
  <c r="M105" i="18"/>
  <c r="M104" i="18"/>
  <c r="M103" i="18"/>
  <c r="M102" i="18"/>
  <c r="M101" i="18"/>
  <c r="M97" i="18"/>
  <c r="O82" i="12"/>
  <c r="T89" i="18"/>
  <c r="T90" i="18"/>
  <c r="T91" i="18"/>
  <c r="T92" i="18"/>
  <c r="T93" i="18"/>
  <c r="T94" i="18"/>
  <c r="T95" i="18"/>
  <c r="T88" i="18"/>
  <c r="F103" i="18"/>
  <c r="AA49" i="18"/>
  <c r="AA48" i="18"/>
  <c r="AA47" i="18"/>
  <c r="AA46" i="18"/>
  <c r="AA44" i="18"/>
  <c r="AD24" i="18"/>
  <c r="AD25" i="18" s="1"/>
  <c r="AA35" i="18"/>
  <c r="AA34" i="18"/>
  <c r="AA33" i="18"/>
  <c r="AA29" i="18"/>
  <c r="AA28" i="18"/>
  <c r="AA27" i="18"/>
  <c r="AA26" i="18"/>
  <c r="AA22" i="18"/>
  <c r="AA21" i="18"/>
  <c r="AA20" i="18"/>
  <c r="AA19" i="18"/>
  <c r="AA14" i="18"/>
  <c r="AA13" i="18"/>
  <c r="AA12" i="18"/>
  <c r="AA11" i="18"/>
  <c r="E5" i="17"/>
  <c r="E9" i="17"/>
  <c r="E13" i="17"/>
  <c r="E17" i="17"/>
  <c r="E7" i="17"/>
  <c r="E10" i="17"/>
  <c r="E12" i="17"/>
  <c r="E14" i="17"/>
  <c r="E15" i="17"/>
  <c r="E16" i="17"/>
  <c r="E3" i="17"/>
  <c r="E4" i="17"/>
  <c r="E6" i="17"/>
  <c r="E8" i="17"/>
  <c r="O76" i="12"/>
  <c r="O77" i="12"/>
  <c r="O75" i="12"/>
  <c r="D54" i="17"/>
  <c r="D55" i="17"/>
  <c r="B56" i="17"/>
  <c r="D56" i="17" s="1"/>
  <c r="D53" i="17"/>
  <c r="B53" i="17"/>
  <c r="C53" i="17" s="1"/>
  <c r="AA114" i="18"/>
  <c r="T114" i="18"/>
  <c r="M114" i="18"/>
  <c r="F114" i="18"/>
  <c r="AA113" i="18"/>
  <c r="T113" i="18"/>
  <c r="M113" i="18"/>
  <c r="F113" i="18"/>
  <c r="AA112" i="18"/>
  <c r="T112" i="18"/>
  <c r="M112" i="18"/>
  <c r="F112" i="18"/>
  <c r="F111" i="18"/>
  <c r="F110" i="18"/>
  <c r="AA109" i="18"/>
  <c r="T109" i="18"/>
  <c r="M109" i="18"/>
  <c r="F109" i="18"/>
  <c r="AA108" i="18"/>
  <c r="T108" i="18"/>
  <c r="M108" i="18"/>
  <c r="F108" i="18"/>
  <c r="AA107" i="18"/>
  <c r="T107" i="18"/>
  <c r="M107" i="18"/>
  <c r="F107" i="18"/>
  <c r="AA105" i="18"/>
  <c r="F105" i="18"/>
  <c r="AA104" i="18"/>
  <c r="F104" i="18"/>
  <c r="AA102" i="18"/>
  <c r="F102" i="18"/>
  <c r="F101" i="18"/>
  <c r="F100" i="18"/>
  <c r="AA99" i="18"/>
  <c r="F99" i="18"/>
  <c r="AA98" i="18"/>
  <c r="F98" i="18"/>
  <c r="AA97" i="18"/>
  <c r="F97" i="18"/>
  <c r="AA95" i="18"/>
  <c r="M95" i="18"/>
  <c r="F95" i="18"/>
  <c r="AA94" i="18"/>
  <c r="M94" i="18"/>
  <c r="F94" i="18"/>
  <c r="AA93" i="18"/>
  <c r="M93" i="18"/>
  <c r="F93" i="18"/>
  <c r="AA92" i="18"/>
  <c r="M92" i="18"/>
  <c r="F92" i="18"/>
  <c r="AA91" i="18"/>
  <c r="M91" i="18"/>
  <c r="F91" i="18"/>
  <c r="AA87" i="18"/>
  <c r="M87" i="18"/>
  <c r="F87" i="18"/>
  <c r="AA85" i="18"/>
  <c r="T85" i="18"/>
  <c r="M85" i="18"/>
  <c r="F85" i="18"/>
  <c r="AA84" i="18"/>
  <c r="T84" i="18"/>
  <c r="M84" i="18"/>
  <c r="F84" i="18"/>
  <c r="AA83" i="18"/>
  <c r="T83" i="18"/>
  <c r="M83" i="18"/>
  <c r="F83" i="18"/>
  <c r="AA82" i="18"/>
  <c r="T82" i="18"/>
  <c r="M82" i="18"/>
  <c r="F82" i="18"/>
  <c r="AA81" i="18"/>
  <c r="T81" i="18"/>
  <c r="M81" i="18"/>
  <c r="F81" i="18"/>
  <c r="AA80" i="18"/>
  <c r="AA86" i="18" s="1"/>
  <c r="T80" i="18"/>
  <c r="T86" i="18" s="1"/>
  <c r="M80" i="18"/>
  <c r="F80" i="18"/>
  <c r="F86" i="18" s="1"/>
  <c r="AA78" i="18"/>
  <c r="T78" i="18"/>
  <c r="M78" i="18"/>
  <c r="F78" i="18"/>
  <c r="AA77" i="18"/>
  <c r="T77" i="18"/>
  <c r="M77" i="18"/>
  <c r="F77" i="18"/>
  <c r="AA76" i="18"/>
  <c r="T76" i="18"/>
  <c r="M76" i="18"/>
  <c r="F76" i="18"/>
  <c r="AA75" i="18"/>
  <c r="T75" i="18"/>
  <c r="M75" i="18"/>
  <c r="F75" i="18"/>
  <c r="AA74" i="18"/>
  <c r="T74" i="18"/>
  <c r="M74" i="18"/>
  <c r="F74" i="18"/>
  <c r="AA73" i="18"/>
  <c r="AA79" i="18" s="1"/>
  <c r="T73" i="18"/>
  <c r="T79" i="18" s="1"/>
  <c r="M73" i="18"/>
  <c r="F73" i="18"/>
  <c r="AA71" i="18"/>
  <c r="T71" i="18"/>
  <c r="M71" i="18"/>
  <c r="F71" i="18"/>
  <c r="AA70" i="18"/>
  <c r="T70" i="18"/>
  <c r="M70" i="18"/>
  <c r="F70" i="18"/>
  <c r="AA69" i="18"/>
  <c r="T69" i="18"/>
  <c r="M69" i="18"/>
  <c r="F69" i="18"/>
  <c r="AA68" i="18"/>
  <c r="T68" i="18"/>
  <c r="M68" i="18"/>
  <c r="F68" i="18"/>
  <c r="AA67" i="18"/>
  <c r="T67" i="18"/>
  <c r="M67" i="18"/>
  <c r="F67" i="18"/>
  <c r="AA66" i="18"/>
  <c r="AA72" i="18" s="1"/>
  <c r="T66" i="18"/>
  <c r="T72" i="18" s="1"/>
  <c r="M66" i="18"/>
  <c r="M72" i="18" s="1"/>
  <c r="F66" i="18"/>
  <c r="AA64" i="18"/>
  <c r="T64" i="18"/>
  <c r="M64" i="18"/>
  <c r="F64" i="18"/>
  <c r="AA63" i="18"/>
  <c r="T63" i="18"/>
  <c r="M63" i="18"/>
  <c r="F63" i="18"/>
  <c r="AA62" i="18"/>
  <c r="T62" i="18"/>
  <c r="M62" i="18"/>
  <c r="F62" i="18"/>
  <c r="AA61" i="18"/>
  <c r="T61" i="18"/>
  <c r="M61" i="18"/>
  <c r="F61" i="18"/>
  <c r="AA60" i="18"/>
  <c r="T60" i="18"/>
  <c r="M60" i="18"/>
  <c r="F60" i="18"/>
  <c r="AA59" i="18"/>
  <c r="AA65" i="18" s="1"/>
  <c r="T59" i="18"/>
  <c r="T65" i="18" s="1"/>
  <c r="M59" i="18"/>
  <c r="M65" i="18" s="1"/>
  <c r="F59" i="18"/>
  <c r="F65" i="18" s="1"/>
  <c r="AA57" i="18"/>
  <c r="T57" i="18"/>
  <c r="M57" i="18"/>
  <c r="F57" i="18"/>
  <c r="AA56" i="18"/>
  <c r="T56" i="18"/>
  <c r="M56" i="18"/>
  <c r="F56" i="18"/>
  <c r="AA55" i="18"/>
  <c r="T55" i="18"/>
  <c r="M55" i="18"/>
  <c r="F55" i="18"/>
  <c r="AA54" i="18"/>
  <c r="T54" i="18"/>
  <c r="M54" i="18"/>
  <c r="F54" i="18"/>
  <c r="AA53" i="18"/>
  <c r="T53" i="18"/>
  <c r="M53" i="18"/>
  <c r="F53" i="18"/>
  <c r="AA52" i="18"/>
  <c r="AA58" i="18" s="1"/>
  <c r="T52" i="18"/>
  <c r="M52" i="18"/>
  <c r="M58" i="18" s="1"/>
  <c r="F52" i="18"/>
  <c r="T50" i="18"/>
  <c r="M50" i="18"/>
  <c r="F50" i="18"/>
  <c r="T49" i="18"/>
  <c r="M49" i="18"/>
  <c r="F49" i="18"/>
  <c r="T48" i="18"/>
  <c r="M48" i="18"/>
  <c r="F48" i="18"/>
  <c r="T47" i="18"/>
  <c r="M47" i="18"/>
  <c r="F47" i="18"/>
  <c r="T46" i="18"/>
  <c r="M46" i="18"/>
  <c r="F46" i="18"/>
  <c r="T45" i="18"/>
  <c r="M45" i="18"/>
  <c r="F45" i="18"/>
  <c r="AA30" i="18"/>
  <c r="T30" i="18"/>
  <c r="M30" i="18"/>
  <c r="F30" i="18"/>
  <c r="T29" i="18"/>
  <c r="M29" i="18"/>
  <c r="F29" i="18"/>
  <c r="T28" i="18"/>
  <c r="M28" i="18"/>
  <c r="F28" i="18"/>
  <c r="T27" i="18"/>
  <c r="M27" i="18"/>
  <c r="F27" i="18"/>
  <c r="T26" i="18"/>
  <c r="M26" i="18"/>
  <c r="F26" i="18"/>
  <c r="AA25" i="18"/>
  <c r="T25" i="18"/>
  <c r="M25" i="18"/>
  <c r="F25" i="18"/>
  <c r="AA23" i="18"/>
  <c r="T23" i="18"/>
  <c r="M23" i="18"/>
  <c r="F23" i="18"/>
  <c r="T22" i="18"/>
  <c r="M22" i="18"/>
  <c r="F22" i="18"/>
  <c r="T21" i="18"/>
  <c r="M21" i="18"/>
  <c r="F21" i="18"/>
  <c r="T20" i="18"/>
  <c r="M20" i="18"/>
  <c r="F20" i="18"/>
  <c r="T19" i="18"/>
  <c r="M19" i="18"/>
  <c r="F19" i="18"/>
  <c r="AA18" i="18"/>
  <c r="T18" i="18"/>
  <c r="M18" i="18"/>
  <c r="F18" i="18"/>
  <c r="AA16" i="18"/>
  <c r="T16" i="18"/>
  <c r="M16" i="18"/>
  <c r="F16" i="18"/>
  <c r="AA15" i="18"/>
  <c r="T15" i="18"/>
  <c r="M15" i="18"/>
  <c r="F15" i="18"/>
  <c r="F14" i="18"/>
  <c r="T13" i="18"/>
  <c r="M13" i="18"/>
  <c r="F13" i="18"/>
  <c r="T12" i="18"/>
  <c r="M12" i="18"/>
  <c r="F12" i="18"/>
  <c r="T11" i="18"/>
  <c r="M11" i="18"/>
  <c r="F11" i="18"/>
  <c r="AA10" i="18"/>
  <c r="T10" i="18"/>
  <c r="M10" i="18"/>
  <c r="F10" i="18"/>
  <c r="AA8" i="18"/>
  <c r="T8" i="18"/>
  <c r="M8" i="18"/>
  <c r="F8" i="18"/>
  <c r="AA7" i="18"/>
  <c r="T7" i="18"/>
  <c r="M7" i="18"/>
  <c r="F7" i="18"/>
  <c r="AA6" i="18"/>
  <c r="T6" i="18"/>
  <c r="M6" i="18"/>
  <c r="F6" i="18"/>
  <c r="AA5" i="18"/>
  <c r="T5" i="18"/>
  <c r="M5" i="18"/>
  <c r="F5" i="18"/>
  <c r="AA4" i="18"/>
  <c r="T4" i="18"/>
  <c r="M4" i="18"/>
  <c r="F4" i="18"/>
  <c r="AA3" i="18"/>
  <c r="AA9" i="18" s="1"/>
  <c r="T3" i="18"/>
  <c r="M3" i="18"/>
  <c r="M9" i="18" s="1"/>
  <c r="F3" i="18"/>
  <c r="F9" i="18" s="1"/>
  <c r="B32" i="17"/>
  <c r="E32" i="17" s="1"/>
  <c r="B31" i="17"/>
  <c r="E31" i="17" s="1"/>
  <c r="B29" i="17"/>
  <c r="B28" i="17"/>
  <c r="E28" i="17" s="1"/>
  <c r="F28" i="17" s="1"/>
  <c r="B26" i="17"/>
  <c r="E26" i="17" s="1"/>
  <c r="O65" i="12"/>
  <c r="O64" i="12"/>
  <c r="C54" i="17"/>
  <c r="C55" i="17"/>
  <c r="F25" i="17"/>
  <c r="E45" i="17"/>
  <c r="E25" i="17"/>
  <c r="B43" i="17"/>
  <c r="E43" i="17" s="1"/>
  <c r="E29" i="17"/>
  <c r="B34" i="17"/>
  <c r="E34" i="17" s="1"/>
  <c r="B49" i="17"/>
  <c r="B44" i="17"/>
  <c r="E42" i="17"/>
  <c r="E41" i="17"/>
  <c r="V63" i="12"/>
  <c r="X63" i="12"/>
  <c r="Z63" i="12"/>
  <c r="AB63" i="12"/>
  <c r="V38" i="12"/>
  <c r="X38" i="12"/>
  <c r="Z38" i="12"/>
  <c r="AB38" i="12"/>
  <c r="X33" i="12"/>
  <c r="Z33" i="12"/>
  <c r="AB33" i="12"/>
  <c r="AG160" i="16"/>
  <c r="AG161" i="16" s="1"/>
  <c r="AG165" i="16" s="1"/>
  <c r="AG148" i="16"/>
  <c r="AM145" i="16"/>
  <c r="AM146" i="16" s="1"/>
  <c r="AL145" i="16"/>
  <c r="AL146" i="16" s="1"/>
  <c r="AK145" i="16"/>
  <c r="AK146" i="16" s="1"/>
  <c r="AJ145" i="16"/>
  <c r="AJ146" i="16" s="1"/>
  <c r="AI145" i="16"/>
  <c r="AI146" i="16" s="1"/>
  <c r="P141" i="16"/>
  <c r="AE140" i="16"/>
  <c r="AK140" i="16" s="1"/>
  <c r="AD140" i="16"/>
  <c r="AJ140" i="16" s="1"/>
  <c r="Y140" i="16"/>
  <c r="AF140" i="16" s="1"/>
  <c r="AL140" i="16" s="1"/>
  <c r="S140" i="16"/>
  <c r="AC140" i="16" s="1"/>
  <c r="AI140" i="16" s="1"/>
  <c r="Y139" i="16"/>
  <c r="AF139" i="16" s="1"/>
  <c r="AL139" i="16" s="1"/>
  <c r="W139" i="16"/>
  <c r="AE139" i="16" s="1"/>
  <c r="AK139" i="16" s="1"/>
  <c r="U139" i="16"/>
  <c r="S139" i="16"/>
  <c r="N139" i="16"/>
  <c r="M138" i="16"/>
  <c r="L138" i="16"/>
  <c r="J138" i="16"/>
  <c r="H138" i="16"/>
  <c r="F138" i="16"/>
  <c r="M137" i="16"/>
  <c r="L137" i="16"/>
  <c r="J137" i="16"/>
  <c r="H137" i="16"/>
  <c r="F137" i="16"/>
  <c r="M136" i="16"/>
  <c r="L136" i="16"/>
  <c r="J136" i="16"/>
  <c r="H136" i="16"/>
  <c r="F136" i="16"/>
  <c r="M135" i="16"/>
  <c r="L135" i="16"/>
  <c r="J135" i="16"/>
  <c r="H135" i="16"/>
  <c r="F135" i="16"/>
  <c r="M133" i="16"/>
  <c r="L133" i="16"/>
  <c r="J133" i="16"/>
  <c r="H133" i="16"/>
  <c r="F133" i="16"/>
  <c r="M132" i="16"/>
  <c r="L132" i="16"/>
  <c r="J132" i="16"/>
  <c r="H132" i="16"/>
  <c r="F132" i="16"/>
  <c r="M131" i="16"/>
  <c r="L131" i="16"/>
  <c r="J131" i="16"/>
  <c r="H131" i="16"/>
  <c r="F131" i="16"/>
  <c r="H130" i="16"/>
  <c r="U130" i="16" s="1"/>
  <c r="AD130" i="16" s="1"/>
  <c r="AJ130" i="16" s="1"/>
  <c r="M130" i="16"/>
  <c r="L130" i="16"/>
  <c r="Y130" i="16" s="1"/>
  <c r="AF130" i="16" s="1"/>
  <c r="AL130" i="16" s="1"/>
  <c r="J130" i="16"/>
  <c r="W130" i="16" s="1"/>
  <c r="F130" i="16"/>
  <c r="S130" i="16" s="1"/>
  <c r="M129" i="16"/>
  <c r="L129" i="16"/>
  <c r="Y129" i="16" s="1"/>
  <c r="J129" i="16"/>
  <c r="W129" i="16" s="1"/>
  <c r="AE129" i="16" s="1"/>
  <c r="AK129" i="16" s="1"/>
  <c r="H129" i="16"/>
  <c r="U129" i="16" s="1"/>
  <c r="F129" i="16"/>
  <c r="S129" i="16" s="1"/>
  <c r="M128" i="16"/>
  <c r="L128" i="16"/>
  <c r="J128" i="16"/>
  <c r="W128" i="16" s="1"/>
  <c r="AE128" i="16" s="1"/>
  <c r="AK128" i="16" s="1"/>
  <c r="H128" i="16"/>
  <c r="U128" i="16" s="1"/>
  <c r="AD128" i="16" s="1"/>
  <c r="AJ128" i="16" s="1"/>
  <c r="F128" i="16"/>
  <c r="S128" i="16" s="1"/>
  <c r="AC128" i="16" s="1"/>
  <c r="AI128" i="16" s="1"/>
  <c r="M127" i="16"/>
  <c r="L127" i="16"/>
  <c r="Y127" i="16" s="1"/>
  <c r="AF127" i="16" s="1"/>
  <c r="AL127" i="16" s="1"/>
  <c r="J127" i="16"/>
  <c r="W127" i="16" s="1"/>
  <c r="AE127" i="16" s="1"/>
  <c r="AK127" i="16" s="1"/>
  <c r="F127" i="16"/>
  <c r="S127" i="16" s="1"/>
  <c r="AC127" i="16" s="1"/>
  <c r="H127" i="16"/>
  <c r="U127" i="16" s="1"/>
  <c r="AD127" i="16" s="1"/>
  <c r="AJ127" i="16" s="1"/>
  <c r="M126" i="16"/>
  <c r="L126" i="16"/>
  <c r="Y126" i="16" s="1"/>
  <c r="AF126" i="16" s="1"/>
  <c r="AL126" i="16" s="1"/>
  <c r="J126" i="16"/>
  <c r="W126" i="16" s="1"/>
  <c r="H126" i="16"/>
  <c r="U126" i="16" s="1"/>
  <c r="F126" i="16"/>
  <c r="M124" i="16"/>
  <c r="J124" i="16"/>
  <c r="W124" i="16" s="1"/>
  <c r="AE124" i="16" s="1"/>
  <c r="AK124" i="16" s="1"/>
  <c r="H124" i="16"/>
  <c r="U124" i="16" s="1"/>
  <c r="AD124" i="16" s="1"/>
  <c r="AJ124" i="16" s="1"/>
  <c r="F124" i="16"/>
  <c r="S124" i="16" s="1"/>
  <c r="M123" i="16"/>
  <c r="J123" i="16"/>
  <c r="W123" i="16" s="1"/>
  <c r="AE123" i="16" s="1"/>
  <c r="AK123" i="16" s="1"/>
  <c r="H123" i="16"/>
  <c r="U123" i="16" s="1"/>
  <c r="AD123" i="16" s="1"/>
  <c r="AJ123" i="16" s="1"/>
  <c r="F123" i="16"/>
  <c r="L123" i="16" s="1"/>
  <c r="Y123" i="16" s="1"/>
  <c r="M122" i="16"/>
  <c r="J122" i="16"/>
  <c r="W122" i="16" s="1"/>
  <c r="AE122" i="16" s="1"/>
  <c r="AK122" i="16" s="1"/>
  <c r="H122" i="16"/>
  <c r="U122" i="16" s="1"/>
  <c r="AD122" i="16" s="1"/>
  <c r="AJ122" i="16" s="1"/>
  <c r="F122" i="16"/>
  <c r="L122" i="16" s="1"/>
  <c r="L121" i="16"/>
  <c r="Y121" i="16" s="1"/>
  <c r="AF121" i="16" s="1"/>
  <c r="AL121" i="16" s="1"/>
  <c r="S121" i="16"/>
  <c r="AC121" i="16" s="1"/>
  <c r="AI121" i="16" s="1"/>
  <c r="M121" i="16"/>
  <c r="J121" i="16"/>
  <c r="H121" i="16"/>
  <c r="U121" i="16" s="1"/>
  <c r="AD121" i="16" s="1"/>
  <c r="AJ121" i="16" s="1"/>
  <c r="H120" i="16"/>
  <c r="U120" i="16" s="1"/>
  <c r="AD120" i="16" s="1"/>
  <c r="AJ120" i="16" s="1"/>
  <c r="M120" i="16"/>
  <c r="J120" i="16"/>
  <c r="W120" i="16" s="1"/>
  <c r="AE120" i="16" s="1"/>
  <c r="AK120" i="16" s="1"/>
  <c r="F120" i="16"/>
  <c r="L120" i="16" s="1"/>
  <c r="Y120" i="16" s="1"/>
  <c r="AF120" i="16" s="1"/>
  <c r="AL120" i="16" s="1"/>
  <c r="F119" i="16"/>
  <c r="M119" i="16"/>
  <c r="J119" i="16"/>
  <c r="H119" i="16"/>
  <c r="U119" i="16" s="1"/>
  <c r="AD119" i="16" s="1"/>
  <c r="AJ119" i="16" s="1"/>
  <c r="Y118" i="16"/>
  <c r="AF118" i="16" s="1"/>
  <c r="AL118" i="16" s="1"/>
  <c r="S118" i="16"/>
  <c r="AC118" i="16" s="1"/>
  <c r="AI118" i="16" s="1"/>
  <c r="W118" i="16"/>
  <c r="AE118" i="16" s="1"/>
  <c r="AK118" i="16" s="1"/>
  <c r="U118" i="16"/>
  <c r="AD118" i="16" s="1"/>
  <c r="AJ118" i="16" s="1"/>
  <c r="O118" i="16"/>
  <c r="W117" i="16"/>
  <c r="U117" i="16"/>
  <c r="AD117" i="16" s="1"/>
  <c r="AJ117" i="16" s="1"/>
  <c r="Y117" i="16"/>
  <c r="AF117" i="16" s="1"/>
  <c r="AL117" i="16" s="1"/>
  <c r="S117" i="16"/>
  <c r="AC117" i="16" s="1"/>
  <c r="AI117" i="16" s="1"/>
  <c r="O117" i="16"/>
  <c r="S116" i="16"/>
  <c r="U115" i="16"/>
  <c r="AD115" i="16" s="1"/>
  <c r="AJ115" i="16" s="1"/>
  <c r="S115" i="16"/>
  <c r="AC115" i="16" s="1"/>
  <c r="AI115" i="16" s="1"/>
  <c r="W115" i="16"/>
  <c r="Y115" i="16"/>
  <c r="AF115" i="16" s="1"/>
  <c r="AL115" i="16" s="1"/>
  <c r="O115" i="16"/>
  <c r="O114" i="16"/>
  <c r="J113" i="16"/>
  <c r="W113" i="16" s="1"/>
  <c r="AE113" i="16" s="1"/>
  <c r="AK113" i="16" s="1"/>
  <c r="M113" i="16"/>
  <c r="H113" i="16"/>
  <c r="F113" i="16"/>
  <c r="S113" i="16" s="1"/>
  <c r="H112" i="16"/>
  <c r="U112" i="16" s="1"/>
  <c r="AD112" i="16" s="1"/>
  <c r="AJ112" i="16" s="1"/>
  <c r="F112" i="16"/>
  <c r="L112" i="16" s="1"/>
  <c r="Y112" i="16" s="1"/>
  <c r="AF112" i="16" s="1"/>
  <c r="AL112" i="16" s="1"/>
  <c r="M112" i="16"/>
  <c r="J112" i="16"/>
  <c r="W112" i="16" s="1"/>
  <c r="AE112" i="16" s="1"/>
  <c r="AK112" i="16" s="1"/>
  <c r="H111" i="16"/>
  <c r="U111" i="16" s="1"/>
  <c r="AD111" i="16" s="1"/>
  <c r="AJ111" i="16" s="1"/>
  <c r="F111" i="16"/>
  <c r="M111" i="16"/>
  <c r="J111" i="16"/>
  <c r="W111" i="16" s="1"/>
  <c r="AE111" i="16" s="1"/>
  <c r="AK111" i="16" s="1"/>
  <c r="J110" i="16"/>
  <c r="W110" i="16" s="1"/>
  <c r="AE110" i="16" s="1"/>
  <c r="AK110" i="16" s="1"/>
  <c r="M110" i="16"/>
  <c r="H110" i="16"/>
  <c r="U110" i="16" s="1"/>
  <c r="AD110" i="16" s="1"/>
  <c r="AJ110" i="16" s="1"/>
  <c r="F110" i="16"/>
  <c r="L110" i="16" s="1"/>
  <c r="J109" i="16"/>
  <c r="W109" i="16" s="1"/>
  <c r="AE109" i="16" s="1"/>
  <c r="AK109" i="16" s="1"/>
  <c r="F109" i="16"/>
  <c r="L109" i="16" s="1"/>
  <c r="M109" i="16"/>
  <c r="H109" i="16"/>
  <c r="U109" i="16" s="1"/>
  <c r="AD109" i="16" s="1"/>
  <c r="AJ109" i="16" s="1"/>
  <c r="F108" i="16"/>
  <c r="M108" i="16"/>
  <c r="J108" i="16"/>
  <c r="W108" i="16" s="1"/>
  <c r="AE108" i="16" s="1"/>
  <c r="AK108" i="16" s="1"/>
  <c r="H108" i="16"/>
  <c r="U108" i="16" s="1"/>
  <c r="F107" i="16"/>
  <c r="S107" i="16" s="1"/>
  <c r="AC107" i="16" s="1"/>
  <c r="AI107" i="16" s="1"/>
  <c r="J107" i="16"/>
  <c r="W107" i="16" s="1"/>
  <c r="AE107" i="16" s="1"/>
  <c r="AK107" i="16" s="1"/>
  <c r="M107" i="16"/>
  <c r="L107" i="16"/>
  <c r="Y107" i="16" s="1"/>
  <c r="H107" i="16"/>
  <c r="U107" i="16" s="1"/>
  <c r="AD107" i="16" s="1"/>
  <c r="AJ107" i="16" s="1"/>
  <c r="AM106" i="16"/>
  <c r="AL106" i="16"/>
  <c r="AK106" i="16"/>
  <c r="AJ106" i="16"/>
  <c r="AI106" i="16"/>
  <c r="AG106" i="16"/>
  <c r="AF106" i="16"/>
  <c r="AE106" i="16"/>
  <c r="AD106" i="16"/>
  <c r="AC106" i="16"/>
  <c r="AA106" i="16"/>
  <c r="Y106" i="16"/>
  <c r="W106" i="16"/>
  <c r="U106" i="16"/>
  <c r="S106" i="16"/>
  <c r="W105" i="16"/>
  <c r="AE105" i="16" s="1"/>
  <c r="AK105" i="16" s="1"/>
  <c r="Y105" i="16"/>
  <c r="AF105" i="16" s="1"/>
  <c r="AL105" i="16" s="1"/>
  <c r="U105" i="16"/>
  <c r="AD105" i="16" s="1"/>
  <c r="S105" i="16"/>
  <c r="AC105" i="16" s="1"/>
  <c r="AI105" i="16" s="1"/>
  <c r="O105" i="16"/>
  <c r="H104" i="16"/>
  <c r="U104" i="16" s="1"/>
  <c r="AD104" i="16" s="1"/>
  <c r="AJ104" i="16" s="1"/>
  <c r="F104" i="16"/>
  <c r="S104" i="16" s="1"/>
  <c r="AC104" i="16" s="1"/>
  <c r="AI104" i="16" s="1"/>
  <c r="J104" i="16"/>
  <c r="W104" i="16" s="1"/>
  <c r="AE104" i="16" s="1"/>
  <c r="AK104" i="16" s="1"/>
  <c r="L104" i="16"/>
  <c r="Y104" i="16" s="1"/>
  <c r="M104" i="16"/>
  <c r="M103" i="16"/>
  <c r="L103" i="16"/>
  <c r="J103" i="16"/>
  <c r="W103" i="16" s="1"/>
  <c r="AE103" i="16" s="1"/>
  <c r="AK103" i="16" s="1"/>
  <c r="H103" i="16"/>
  <c r="F103" i="16"/>
  <c r="S103" i="16" s="1"/>
  <c r="AC103" i="16" s="1"/>
  <c r="AI103" i="16" s="1"/>
  <c r="M102" i="16"/>
  <c r="J102" i="16"/>
  <c r="W102" i="16" s="1"/>
  <c r="AE102" i="16" s="1"/>
  <c r="AK102" i="16" s="1"/>
  <c r="H102" i="16"/>
  <c r="U102" i="16" s="1"/>
  <c r="AD102" i="16" s="1"/>
  <c r="AJ102" i="16" s="1"/>
  <c r="F102" i="16"/>
  <c r="M101" i="16"/>
  <c r="J101" i="16"/>
  <c r="W101" i="16" s="1"/>
  <c r="AE101" i="16" s="1"/>
  <c r="AK101" i="16" s="1"/>
  <c r="H101" i="16"/>
  <c r="U101" i="16" s="1"/>
  <c r="AD101" i="16" s="1"/>
  <c r="AJ101" i="16" s="1"/>
  <c r="F101" i="16"/>
  <c r="S101" i="16" s="1"/>
  <c r="AC101" i="16" s="1"/>
  <c r="AI101" i="16" s="1"/>
  <c r="M100" i="16"/>
  <c r="J100" i="16"/>
  <c r="W100" i="16" s="1"/>
  <c r="AE100" i="16" s="1"/>
  <c r="AK100" i="16" s="1"/>
  <c r="H100" i="16"/>
  <c r="F100" i="16"/>
  <c r="S100" i="16" s="1"/>
  <c r="AC100" i="16" s="1"/>
  <c r="AI100" i="16" s="1"/>
  <c r="H99" i="16"/>
  <c r="U99" i="16" s="1"/>
  <c r="M99" i="16"/>
  <c r="J99" i="16"/>
  <c r="W99" i="16" s="1"/>
  <c r="AE99" i="16" s="1"/>
  <c r="AK99" i="16" s="1"/>
  <c r="F99" i="16"/>
  <c r="S99" i="16" s="1"/>
  <c r="AC99" i="16" s="1"/>
  <c r="M98" i="16"/>
  <c r="J98" i="16"/>
  <c r="W98" i="16" s="1"/>
  <c r="AE98" i="16" s="1"/>
  <c r="AK98" i="16" s="1"/>
  <c r="H98" i="16"/>
  <c r="U98" i="16" s="1"/>
  <c r="AD98" i="16" s="1"/>
  <c r="AJ98" i="16" s="1"/>
  <c r="F98" i="16"/>
  <c r="S98" i="16" s="1"/>
  <c r="AC98" i="16" s="1"/>
  <c r="S97" i="16"/>
  <c r="AC97" i="16" s="1"/>
  <c r="AI97" i="16" s="1"/>
  <c r="U97" i="16"/>
  <c r="AD97" i="16" s="1"/>
  <c r="AJ97" i="16" s="1"/>
  <c r="Y97" i="16"/>
  <c r="AF97" i="16" s="1"/>
  <c r="AL97" i="16" s="1"/>
  <c r="W97" i="16"/>
  <c r="O97" i="16"/>
  <c r="M96" i="16"/>
  <c r="L96" i="16"/>
  <c r="J96" i="16"/>
  <c r="W96" i="16" s="1"/>
  <c r="AE96" i="16" s="1"/>
  <c r="AK96" i="16" s="1"/>
  <c r="H96" i="16"/>
  <c r="F96" i="16"/>
  <c r="S96" i="16" s="1"/>
  <c r="AC96" i="16" s="1"/>
  <c r="U95" i="16"/>
  <c r="AD95" i="16" s="1"/>
  <c r="AJ95" i="16" s="1"/>
  <c r="Y95" i="16"/>
  <c r="AF95" i="16" s="1"/>
  <c r="AL95" i="16" s="1"/>
  <c r="W95" i="16"/>
  <c r="AE95" i="16" s="1"/>
  <c r="AK95" i="16" s="1"/>
  <c r="S95" i="16"/>
  <c r="AC95" i="16" s="1"/>
  <c r="AI95" i="16" s="1"/>
  <c r="O95" i="16"/>
  <c r="M94" i="16"/>
  <c r="L94" i="16"/>
  <c r="J94" i="16"/>
  <c r="W94" i="16" s="1"/>
  <c r="AE94" i="16" s="1"/>
  <c r="AK94" i="16" s="1"/>
  <c r="H94" i="16"/>
  <c r="U94" i="16" s="1"/>
  <c r="AD94" i="16" s="1"/>
  <c r="AJ94" i="16" s="1"/>
  <c r="F94" i="16"/>
  <c r="S94" i="16" s="1"/>
  <c r="Y93" i="16"/>
  <c r="AF93" i="16" s="1"/>
  <c r="AL93" i="16" s="1"/>
  <c r="W93" i="16"/>
  <c r="AE93" i="16" s="1"/>
  <c r="AK93" i="16" s="1"/>
  <c r="U93" i="16"/>
  <c r="AD93" i="16" s="1"/>
  <c r="S93" i="16"/>
  <c r="AC93" i="16" s="1"/>
  <c r="AI93" i="16" s="1"/>
  <c r="O93" i="16"/>
  <c r="M92" i="16"/>
  <c r="L92" i="16"/>
  <c r="Y92" i="16" s="1"/>
  <c r="J92" i="16"/>
  <c r="W92" i="16" s="1"/>
  <c r="AE92" i="16" s="1"/>
  <c r="AK92" i="16" s="1"/>
  <c r="H92" i="16"/>
  <c r="F92" i="16"/>
  <c r="S92" i="16" s="1"/>
  <c r="S91" i="16"/>
  <c r="AC91" i="16" s="1"/>
  <c r="AG91" i="16" s="1"/>
  <c r="AB90" i="16"/>
  <c r="O90" i="16"/>
  <c r="AB89" i="16"/>
  <c r="O89" i="16"/>
  <c r="AB88" i="16"/>
  <c r="O88" i="16"/>
  <c r="AH87" i="16"/>
  <c r="P87" i="16"/>
  <c r="F86" i="16"/>
  <c r="S86" i="16" s="1"/>
  <c r="AC86" i="16" s="1"/>
  <c r="AI86" i="16" s="1"/>
  <c r="M86" i="16"/>
  <c r="J86" i="16"/>
  <c r="W86" i="16" s="1"/>
  <c r="AE86" i="16" s="1"/>
  <c r="AK86" i="16" s="1"/>
  <c r="H86" i="16"/>
  <c r="U86" i="16" s="1"/>
  <c r="AD86" i="16" s="1"/>
  <c r="AJ86" i="16" s="1"/>
  <c r="M85" i="16"/>
  <c r="L85" i="16"/>
  <c r="Y85" i="16" s="1"/>
  <c r="AF85" i="16" s="1"/>
  <c r="AL85" i="16" s="1"/>
  <c r="J85" i="16"/>
  <c r="W85" i="16" s="1"/>
  <c r="AE85" i="16" s="1"/>
  <c r="AK85" i="16" s="1"/>
  <c r="H85" i="16"/>
  <c r="U85" i="16" s="1"/>
  <c r="AD85" i="16" s="1"/>
  <c r="AJ85" i="16" s="1"/>
  <c r="F85" i="16"/>
  <c r="M84" i="16"/>
  <c r="L84" i="16"/>
  <c r="Y84" i="16" s="1"/>
  <c r="AF84" i="16" s="1"/>
  <c r="AL84" i="16" s="1"/>
  <c r="J84" i="16"/>
  <c r="W84" i="16" s="1"/>
  <c r="AE84" i="16" s="1"/>
  <c r="AK84" i="16" s="1"/>
  <c r="H84" i="16"/>
  <c r="U84" i="16" s="1"/>
  <c r="F84" i="16"/>
  <c r="S84" i="16" s="1"/>
  <c r="AC84" i="16" s="1"/>
  <c r="L83" i="16"/>
  <c r="Y83" i="16" s="1"/>
  <c r="AF83" i="16" s="1"/>
  <c r="AL83" i="16" s="1"/>
  <c r="M83" i="16"/>
  <c r="J83" i="16"/>
  <c r="W83" i="16" s="1"/>
  <c r="AE83" i="16" s="1"/>
  <c r="AK83" i="16" s="1"/>
  <c r="H83" i="16"/>
  <c r="U83" i="16" s="1"/>
  <c r="AD83" i="16" s="1"/>
  <c r="AJ83" i="16" s="1"/>
  <c r="F83" i="16"/>
  <c r="S83" i="16" s="1"/>
  <c r="AC83" i="16" s="1"/>
  <c r="J82" i="16"/>
  <c r="W82" i="16" s="1"/>
  <c r="AE82" i="16" s="1"/>
  <c r="M82" i="16"/>
  <c r="L82" i="16"/>
  <c r="Y82" i="16" s="1"/>
  <c r="H82" i="16"/>
  <c r="U82" i="16" s="1"/>
  <c r="AD82" i="16" s="1"/>
  <c r="AJ82" i="16" s="1"/>
  <c r="F82" i="16"/>
  <c r="S82" i="16" s="1"/>
  <c r="AC82" i="16" s="1"/>
  <c r="AI82" i="16" s="1"/>
  <c r="M81" i="16"/>
  <c r="J81" i="16"/>
  <c r="W81" i="16" s="1"/>
  <c r="AE81" i="16" s="1"/>
  <c r="AK81" i="16" s="1"/>
  <c r="H81" i="16"/>
  <c r="U81" i="16" s="1"/>
  <c r="AD81" i="16" s="1"/>
  <c r="AJ81" i="16" s="1"/>
  <c r="F81" i="16"/>
  <c r="S81" i="16" s="1"/>
  <c r="AC81" i="16" s="1"/>
  <c r="AI81" i="16" s="1"/>
  <c r="J80" i="16"/>
  <c r="M80" i="16"/>
  <c r="F80" i="16"/>
  <c r="H80" i="16"/>
  <c r="U80" i="16" s="1"/>
  <c r="AB78" i="16"/>
  <c r="O78" i="16"/>
  <c r="AB77" i="16"/>
  <c r="O77" i="16"/>
  <c r="M75" i="16"/>
  <c r="L75" i="16"/>
  <c r="Y75" i="16" s="1"/>
  <c r="AF75" i="16" s="1"/>
  <c r="AL75" i="16" s="1"/>
  <c r="J75" i="16"/>
  <c r="W75" i="16" s="1"/>
  <c r="AE75" i="16" s="1"/>
  <c r="AK75" i="16" s="1"/>
  <c r="H75" i="16"/>
  <c r="U75" i="16" s="1"/>
  <c r="AD75" i="16" s="1"/>
  <c r="AJ75" i="16" s="1"/>
  <c r="F75" i="16"/>
  <c r="S75" i="16" s="1"/>
  <c r="AC75" i="16" s="1"/>
  <c r="AI75" i="16" s="1"/>
  <c r="M74" i="16"/>
  <c r="L74" i="16"/>
  <c r="J74" i="16"/>
  <c r="W74" i="16" s="1"/>
  <c r="AE74" i="16" s="1"/>
  <c r="AK74" i="16" s="1"/>
  <c r="H74" i="16"/>
  <c r="U74" i="16" s="1"/>
  <c r="F74" i="16"/>
  <c r="S74" i="16" s="1"/>
  <c r="M73" i="16"/>
  <c r="L73" i="16"/>
  <c r="J73" i="16"/>
  <c r="W73" i="16" s="1"/>
  <c r="H73" i="16"/>
  <c r="U73" i="16" s="1"/>
  <c r="AD73" i="16" s="1"/>
  <c r="AJ73" i="16" s="1"/>
  <c r="F73" i="16"/>
  <c r="M71" i="16"/>
  <c r="L71" i="16"/>
  <c r="Y71" i="16" s="1"/>
  <c r="AF71" i="16" s="1"/>
  <c r="AL71" i="16" s="1"/>
  <c r="J71" i="16"/>
  <c r="W71" i="16" s="1"/>
  <c r="AE71" i="16" s="1"/>
  <c r="AK71" i="16" s="1"/>
  <c r="H71" i="16"/>
  <c r="U71" i="16" s="1"/>
  <c r="AD71" i="16" s="1"/>
  <c r="AJ71" i="16" s="1"/>
  <c r="F71" i="16"/>
  <c r="S71" i="16" s="1"/>
  <c r="AC71" i="16" s="1"/>
  <c r="AI71" i="16" s="1"/>
  <c r="M70" i="16"/>
  <c r="L70" i="16"/>
  <c r="Y70" i="16" s="1"/>
  <c r="J70" i="16"/>
  <c r="W70" i="16" s="1"/>
  <c r="AE70" i="16" s="1"/>
  <c r="AK70" i="16" s="1"/>
  <c r="H70" i="16"/>
  <c r="U70" i="16" s="1"/>
  <c r="AD70" i="16" s="1"/>
  <c r="AJ70" i="16" s="1"/>
  <c r="F70" i="16"/>
  <c r="S70" i="16" s="1"/>
  <c r="AC70" i="16" s="1"/>
  <c r="AI70" i="16" s="1"/>
  <c r="M69" i="16"/>
  <c r="L69" i="16"/>
  <c r="Y69" i="16" s="1"/>
  <c r="AF69" i="16" s="1"/>
  <c r="AL69" i="16" s="1"/>
  <c r="J69" i="16"/>
  <c r="W69" i="16" s="1"/>
  <c r="H69" i="16"/>
  <c r="U69" i="16" s="1"/>
  <c r="AD69" i="16" s="1"/>
  <c r="AJ69" i="16" s="1"/>
  <c r="F69" i="16"/>
  <c r="S69" i="16" s="1"/>
  <c r="AC69" i="16" s="1"/>
  <c r="M67" i="16"/>
  <c r="L67" i="16"/>
  <c r="J67" i="16"/>
  <c r="W67" i="16" s="1"/>
  <c r="AE67" i="16" s="1"/>
  <c r="AK67" i="16" s="1"/>
  <c r="H67" i="16"/>
  <c r="U67" i="16" s="1"/>
  <c r="AD67" i="16" s="1"/>
  <c r="AJ67" i="16" s="1"/>
  <c r="F67" i="16"/>
  <c r="S67" i="16" s="1"/>
  <c r="AC67" i="16" s="1"/>
  <c r="AI67" i="16" s="1"/>
  <c r="F66" i="16"/>
  <c r="S66" i="16" s="1"/>
  <c r="AC66" i="16" s="1"/>
  <c r="M66" i="16"/>
  <c r="L66" i="16"/>
  <c r="Y66" i="16" s="1"/>
  <c r="AF66" i="16" s="1"/>
  <c r="AL66" i="16" s="1"/>
  <c r="J66" i="16"/>
  <c r="W66" i="16" s="1"/>
  <c r="H66" i="16"/>
  <c r="U66" i="16" s="1"/>
  <c r="AD66" i="16" s="1"/>
  <c r="AJ66" i="16" s="1"/>
  <c r="L65" i="16"/>
  <c r="Y65" i="16" s="1"/>
  <c r="AF65" i="16" s="1"/>
  <c r="AL65" i="16" s="1"/>
  <c r="M65" i="16"/>
  <c r="J65" i="16"/>
  <c r="H65" i="16"/>
  <c r="U65" i="16" s="1"/>
  <c r="F65" i="16"/>
  <c r="S65" i="16" s="1"/>
  <c r="AB63" i="16"/>
  <c r="O63" i="16"/>
  <c r="AB62" i="16"/>
  <c r="O62" i="16"/>
  <c r="L60" i="16"/>
  <c r="J60" i="16"/>
  <c r="H60" i="16"/>
  <c r="F60" i="16"/>
  <c r="L59" i="16"/>
  <c r="J59" i="16"/>
  <c r="H59" i="16"/>
  <c r="F59" i="16"/>
  <c r="F58" i="16"/>
  <c r="L58" i="16"/>
  <c r="J58" i="16"/>
  <c r="H58" i="16"/>
  <c r="AB57" i="16"/>
  <c r="O57" i="16"/>
  <c r="AB56" i="16"/>
  <c r="O56" i="16"/>
  <c r="P55" i="16"/>
  <c r="M54" i="16"/>
  <c r="J54" i="16"/>
  <c r="W54" i="16" s="1"/>
  <c r="AE54" i="16" s="1"/>
  <c r="AK54" i="16" s="1"/>
  <c r="H54" i="16"/>
  <c r="U54" i="16" s="1"/>
  <c r="AD54" i="16" s="1"/>
  <c r="AJ54" i="16" s="1"/>
  <c r="F54" i="16"/>
  <c r="S54" i="16" s="1"/>
  <c r="AC54" i="16" s="1"/>
  <c r="AI54" i="16" s="1"/>
  <c r="M53" i="16"/>
  <c r="J53" i="16"/>
  <c r="H53" i="16"/>
  <c r="U53" i="16" s="1"/>
  <c r="AD53" i="16" s="1"/>
  <c r="AJ53" i="16" s="1"/>
  <c r="F53" i="16"/>
  <c r="S53" i="16" s="1"/>
  <c r="AC53" i="16" s="1"/>
  <c r="AI53" i="16" s="1"/>
  <c r="M52" i="16"/>
  <c r="J52" i="16"/>
  <c r="W52" i="16" s="1"/>
  <c r="AE52" i="16" s="1"/>
  <c r="AK52" i="16" s="1"/>
  <c r="H52" i="16"/>
  <c r="U52" i="16" s="1"/>
  <c r="AD52" i="16" s="1"/>
  <c r="AJ52" i="16" s="1"/>
  <c r="F52" i="16"/>
  <c r="S52" i="16" s="1"/>
  <c r="F51" i="16"/>
  <c r="L51" i="16" s="1"/>
  <c r="M51" i="16"/>
  <c r="J51" i="16"/>
  <c r="W51" i="16" s="1"/>
  <c r="AE51" i="16" s="1"/>
  <c r="AK51" i="16" s="1"/>
  <c r="H51" i="16"/>
  <c r="U51" i="16" s="1"/>
  <c r="AD51" i="16" s="1"/>
  <c r="AJ51" i="16" s="1"/>
  <c r="M50" i="16"/>
  <c r="D50" i="16"/>
  <c r="M49" i="16"/>
  <c r="D49" i="16"/>
  <c r="AB48" i="16"/>
  <c r="O48" i="16"/>
  <c r="M47" i="16"/>
  <c r="D47" i="16"/>
  <c r="L47" i="16" s="1"/>
  <c r="Y47" i="16" s="1"/>
  <c r="AF47" i="16" s="1"/>
  <c r="AL47" i="16" s="1"/>
  <c r="M46" i="16"/>
  <c r="D46" i="16"/>
  <c r="J46" i="16" s="1"/>
  <c r="W46" i="16" s="1"/>
  <c r="AE46" i="16" s="1"/>
  <c r="AK46" i="16" s="1"/>
  <c r="M45" i="16"/>
  <c r="D45" i="16"/>
  <c r="F45" i="16" s="1"/>
  <c r="S45" i="16" s="1"/>
  <c r="AC45" i="16" s="1"/>
  <c r="AI45" i="16" s="1"/>
  <c r="M44" i="16"/>
  <c r="L44" i="16"/>
  <c r="Y44" i="16" s="1"/>
  <c r="AF44" i="16" s="1"/>
  <c r="AL44" i="16" s="1"/>
  <c r="J44" i="16"/>
  <c r="W44" i="16" s="1"/>
  <c r="AE44" i="16" s="1"/>
  <c r="AK44" i="16" s="1"/>
  <c r="F44" i="16"/>
  <c r="S44" i="16" s="1"/>
  <c r="AC44" i="16" s="1"/>
  <c r="AI44" i="16" s="1"/>
  <c r="H44" i="16"/>
  <c r="U44" i="16" s="1"/>
  <c r="AD44" i="16" s="1"/>
  <c r="AJ44" i="16" s="1"/>
  <c r="AB43" i="16"/>
  <c r="O43" i="16"/>
  <c r="AB42" i="16"/>
  <c r="O42" i="16"/>
  <c r="AB41" i="16"/>
  <c r="O41" i="16"/>
  <c r="AB40" i="16"/>
  <c r="O40" i="16"/>
  <c r="P39" i="16"/>
  <c r="U38" i="16"/>
  <c r="AD38" i="16" s="1"/>
  <c r="AJ38" i="16" s="1"/>
  <c r="Y38" i="16"/>
  <c r="AF38" i="16" s="1"/>
  <c r="AL38" i="16" s="1"/>
  <c r="W38" i="16"/>
  <c r="AE38" i="16" s="1"/>
  <c r="AK38" i="16" s="1"/>
  <c r="S38" i="16"/>
  <c r="AC38" i="16" s="1"/>
  <c r="N38" i="16"/>
  <c r="O38" i="16" s="1"/>
  <c r="M38" i="16"/>
  <c r="S37" i="16"/>
  <c r="Y37" i="16"/>
  <c r="AF37" i="16" s="1"/>
  <c r="AL37" i="16" s="1"/>
  <c r="W37" i="16"/>
  <c r="AE37" i="16" s="1"/>
  <c r="AK37" i="16" s="1"/>
  <c r="U37" i="16"/>
  <c r="AD37" i="16" s="1"/>
  <c r="AJ37" i="16" s="1"/>
  <c r="N37" i="16"/>
  <c r="O37" i="16" s="1"/>
  <c r="M37" i="16"/>
  <c r="Y36" i="16"/>
  <c r="AF36" i="16" s="1"/>
  <c r="AL36" i="16" s="1"/>
  <c r="W36" i="16"/>
  <c r="AE36" i="16" s="1"/>
  <c r="AK36" i="16" s="1"/>
  <c r="U36" i="16"/>
  <c r="AD36" i="16" s="1"/>
  <c r="AJ36" i="16" s="1"/>
  <c r="S36" i="16"/>
  <c r="N36" i="16"/>
  <c r="O36" i="16" s="1"/>
  <c r="M36" i="16"/>
  <c r="M35" i="16"/>
  <c r="L35" i="16"/>
  <c r="Y35" i="16" s="1"/>
  <c r="AF35" i="16" s="1"/>
  <c r="AL35" i="16" s="1"/>
  <c r="J35" i="16"/>
  <c r="W35" i="16" s="1"/>
  <c r="AE35" i="16" s="1"/>
  <c r="AK35" i="16" s="1"/>
  <c r="H35" i="16"/>
  <c r="U35" i="16" s="1"/>
  <c r="AD35" i="16" s="1"/>
  <c r="AJ35" i="16" s="1"/>
  <c r="F35" i="16"/>
  <c r="S35" i="16" s="1"/>
  <c r="L34" i="16"/>
  <c r="Y34" i="16" s="1"/>
  <c r="AF34" i="16" s="1"/>
  <c r="AL34" i="16" s="1"/>
  <c r="M34" i="16"/>
  <c r="J34" i="16"/>
  <c r="W34" i="16" s="1"/>
  <c r="AE34" i="16" s="1"/>
  <c r="AK34" i="16" s="1"/>
  <c r="H34" i="16"/>
  <c r="U34" i="16" s="1"/>
  <c r="AD34" i="16" s="1"/>
  <c r="AJ34" i="16" s="1"/>
  <c r="F34" i="16"/>
  <c r="Y33" i="16"/>
  <c r="AF33" i="16" s="1"/>
  <c r="AL33" i="16" s="1"/>
  <c r="S33" i="16"/>
  <c r="AC33" i="16" s="1"/>
  <c r="W33" i="16"/>
  <c r="U33" i="16"/>
  <c r="AD33" i="16" s="1"/>
  <c r="AJ33" i="16" s="1"/>
  <c r="N33" i="16"/>
  <c r="M33" i="16"/>
  <c r="Y32" i="16"/>
  <c r="AF32" i="16" s="1"/>
  <c r="AL32" i="16" s="1"/>
  <c r="W32" i="16"/>
  <c r="AE32" i="16" s="1"/>
  <c r="AK32" i="16" s="1"/>
  <c r="U32" i="16"/>
  <c r="S32" i="16"/>
  <c r="AC32" i="16" s="1"/>
  <c r="N32" i="16"/>
  <c r="O32" i="16" s="1"/>
  <c r="M32" i="16"/>
  <c r="Y31" i="16"/>
  <c r="AF31" i="16" s="1"/>
  <c r="AL31" i="16" s="1"/>
  <c r="W31" i="16"/>
  <c r="AE31" i="16" s="1"/>
  <c r="AK31" i="16" s="1"/>
  <c r="U31" i="16"/>
  <c r="S31" i="16"/>
  <c r="AC31" i="16" s="1"/>
  <c r="AI31" i="16" s="1"/>
  <c r="N31" i="16"/>
  <c r="O31" i="16" s="1"/>
  <c r="M31" i="16"/>
  <c r="L30" i="16"/>
  <c r="Y30" i="16" s="1"/>
  <c r="AF30" i="16" s="1"/>
  <c r="AL30" i="16" s="1"/>
  <c r="M30" i="16"/>
  <c r="J30" i="16"/>
  <c r="W30" i="16" s="1"/>
  <c r="AE30" i="16" s="1"/>
  <c r="AK30" i="16" s="1"/>
  <c r="H30" i="16"/>
  <c r="U30" i="16" s="1"/>
  <c r="F30" i="16"/>
  <c r="S30" i="16" s="1"/>
  <c r="AC30" i="16" s="1"/>
  <c r="M29" i="16"/>
  <c r="L29" i="16"/>
  <c r="Y29" i="16" s="1"/>
  <c r="AF29" i="16" s="1"/>
  <c r="AL29" i="16" s="1"/>
  <c r="J29" i="16"/>
  <c r="W29" i="16" s="1"/>
  <c r="AE29" i="16" s="1"/>
  <c r="AK29" i="16" s="1"/>
  <c r="H29" i="16"/>
  <c r="F29" i="16"/>
  <c r="S29" i="16" s="1"/>
  <c r="AC29" i="16" s="1"/>
  <c r="AI29" i="16" s="1"/>
  <c r="AB28" i="16"/>
  <c r="O28" i="16"/>
  <c r="M27" i="16"/>
  <c r="L27" i="16"/>
  <c r="J27" i="16"/>
  <c r="W27" i="16" s="1"/>
  <c r="AE27" i="16" s="1"/>
  <c r="AK27" i="16" s="1"/>
  <c r="H27" i="16"/>
  <c r="F27" i="16"/>
  <c r="S27" i="16" s="1"/>
  <c r="AC27" i="16" s="1"/>
  <c r="AI27" i="16" s="1"/>
  <c r="M26" i="16"/>
  <c r="L26" i="16"/>
  <c r="Y26" i="16" s="1"/>
  <c r="AF26" i="16" s="1"/>
  <c r="AL26" i="16" s="1"/>
  <c r="J26" i="16"/>
  <c r="W26" i="16" s="1"/>
  <c r="AE26" i="16" s="1"/>
  <c r="AK26" i="16" s="1"/>
  <c r="H26" i="16"/>
  <c r="U26" i="16" s="1"/>
  <c r="AD26" i="16" s="1"/>
  <c r="AJ26" i="16" s="1"/>
  <c r="F26" i="16"/>
  <c r="M25" i="16"/>
  <c r="L25" i="16"/>
  <c r="Y25" i="16" s="1"/>
  <c r="AF25" i="16" s="1"/>
  <c r="AL25" i="16" s="1"/>
  <c r="J25" i="16"/>
  <c r="W25" i="16" s="1"/>
  <c r="AE25" i="16" s="1"/>
  <c r="AK25" i="16" s="1"/>
  <c r="H25" i="16"/>
  <c r="U25" i="16" s="1"/>
  <c r="AD25" i="16" s="1"/>
  <c r="AJ25" i="16" s="1"/>
  <c r="F25" i="16"/>
  <c r="S25" i="16" s="1"/>
  <c r="AC25" i="16" s="1"/>
  <c r="AI25" i="16" s="1"/>
  <c r="M24" i="16"/>
  <c r="L24" i="16"/>
  <c r="Y24" i="16" s="1"/>
  <c r="AF24" i="16" s="1"/>
  <c r="AL24" i="16" s="1"/>
  <c r="J24" i="16"/>
  <c r="W24" i="16" s="1"/>
  <c r="AE24" i="16" s="1"/>
  <c r="AK24" i="16" s="1"/>
  <c r="H24" i="16"/>
  <c r="U24" i="16" s="1"/>
  <c r="AD24" i="16" s="1"/>
  <c r="AJ24" i="16" s="1"/>
  <c r="F24" i="16"/>
  <c r="F23" i="16"/>
  <c r="M23" i="16"/>
  <c r="L23" i="16"/>
  <c r="Y23" i="16" s="1"/>
  <c r="AF23" i="16" s="1"/>
  <c r="J23" i="16"/>
  <c r="W23" i="16" s="1"/>
  <c r="AE23" i="16" s="1"/>
  <c r="AK23" i="16" s="1"/>
  <c r="H23" i="16"/>
  <c r="M22" i="16"/>
  <c r="L22" i="16"/>
  <c r="Y22" i="16" s="1"/>
  <c r="AF22" i="16" s="1"/>
  <c r="AL22" i="16" s="1"/>
  <c r="J22" i="16"/>
  <c r="W22" i="16" s="1"/>
  <c r="H22" i="16"/>
  <c r="U22" i="16" s="1"/>
  <c r="F22" i="16"/>
  <c r="S22" i="16" s="1"/>
  <c r="M21" i="16"/>
  <c r="L21" i="16"/>
  <c r="Y21" i="16" s="1"/>
  <c r="AF21" i="16" s="1"/>
  <c r="AL21" i="16" s="1"/>
  <c r="J21" i="16"/>
  <c r="W21" i="16" s="1"/>
  <c r="AE21" i="16" s="1"/>
  <c r="AK21" i="16" s="1"/>
  <c r="H21" i="16"/>
  <c r="U21" i="16" s="1"/>
  <c r="AD21" i="16" s="1"/>
  <c r="AJ21" i="16" s="1"/>
  <c r="F21" i="16"/>
  <c r="S21" i="16" s="1"/>
  <c r="AC21" i="16" s="1"/>
  <c r="AI21" i="16" s="1"/>
  <c r="O20" i="16"/>
  <c r="M19" i="16"/>
  <c r="L19" i="16"/>
  <c r="J19" i="16"/>
  <c r="H19" i="16"/>
  <c r="F19" i="16"/>
  <c r="M18" i="16"/>
  <c r="L18" i="16"/>
  <c r="J18" i="16"/>
  <c r="H18" i="16"/>
  <c r="F18" i="16"/>
  <c r="M17" i="16"/>
  <c r="L17" i="16"/>
  <c r="J17" i="16"/>
  <c r="H17" i="16"/>
  <c r="F17" i="16"/>
  <c r="M16" i="16"/>
  <c r="L16" i="16"/>
  <c r="J16" i="16"/>
  <c r="H16" i="16"/>
  <c r="F16" i="16"/>
  <c r="M15" i="16"/>
  <c r="L15" i="16"/>
  <c r="J15" i="16"/>
  <c r="H15" i="16"/>
  <c r="F15" i="16"/>
  <c r="M14" i="16"/>
  <c r="L14" i="16"/>
  <c r="L13" i="16"/>
  <c r="J14" i="16"/>
  <c r="H14" i="16"/>
  <c r="F14" i="16"/>
  <c r="M13" i="16"/>
  <c r="J13" i="16"/>
  <c r="H13" i="16"/>
  <c r="F13" i="16"/>
  <c r="Y8" i="16"/>
  <c r="AF8" i="16" s="1"/>
  <c r="W8" i="16"/>
  <c r="AE8" i="16" s="1"/>
  <c r="U8" i="16"/>
  <c r="AD8" i="16" s="1"/>
  <c r="S8" i="16"/>
  <c r="AC8" i="16" s="1"/>
  <c r="AJ5" i="16"/>
  <c r="H1" i="16"/>
  <c r="Q35" i="12"/>
  <c r="Q39" i="12"/>
  <c r="Q40" i="12"/>
  <c r="Q46" i="12"/>
  <c r="Q47" i="12"/>
  <c r="Q60" i="12"/>
  <c r="Q61" i="12"/>
  <c r="Q62" i="12"/>
  <c r="S24" i="16"/>
  <c r="U27" i="16"/>
  <c r="AD27" i="16" s="1"/>
  <c r="AJ27" i="16" s="1"/>
  <c r="Y96" i="16"/>
  <c r="AF96" i="16" s="1"/>
  <c r="AL96" i="16" s="1"/>
  <c r="Y109" i="16"/>
  <c r="AF109" i="16" s="1"/>
  <c r="AL109" i="16" s="1"/>
  <c r="Y94" i="16"/>
  <c r="AF94" i="16" s="1"/>
  <c r="AL94" i="16" s="1"/>
  <c r="AI98" i="16"/>
  <c r="W121" i="16"/>
  <c r="Y103" i="16"/>
  <c r="AF103" i="16" s="1"/>
  <c r="AL103" i="16" s="1"/>
  <c r="AD126" i="16"/>
  <c r="AJ126" i="16" s="1"/>
  <c r="L101" i="16"/>
  <c r="Y101" i="16" s="1"/>
  <c r="AF123" i="16"/>
  <c r="AL123" i="16" s="1"/>
  <c r="L124" i="16"/>
  <c r="Y124" i="16" s="1"/>
  <c r="AF124" i="16" s="1"/>
  <c r="AL124" i="16" s="1"/>
  <c r="S126" i="16"/>
  <c r="AC126" i="16" s="1"/>
  <c r="AC130" i="16"/>
  <c r="AI130" i="16" s="1"/>
  <c r="AC139" i="16"/>
  <c r="AI139" i="16" s="1"/>
  <c r="AC129" i="16"/>
  <c r="AI129" i="16" s="1"/>
  <c r="U104" i="12"/>
  <c r="AE104" i="12" s="1"/>
  <c r="AF104" i="12"/>
  <c r="AL104" i="12" s="1"/>
  <c r="AG104" i="12"/>
  <c r="AM104" i="12" s="1"/>
  <c r="AA104" i="12"/>
  <c r="AH104" i="12" s="1"/>
  <c r="AN104" i="12" s="1"/>
  <c r="AI123" i="12"/>
  <c r="AI124" i="12" s="1"/>
  <c r="AI128" i="12" s="1"/>
  <c r="AA73" i="12"/>
  <c r="AH73" i="12" s="1"/>
  <c r="AN73" i="12" s="1"/>
  <c r="Y73" i="12"/>
  <c r="W73" i="12"/>
  <c r="AF73" i="12" s="1"/>
  <c r="U73" i="12"/>
  <c r="AE73" i="12" s="1"/>
  <c r="AK73" i="12" s="1"/>
  <c r="AA10" i="12"/>
  <c r="AH10" i="12" s="1"/>
  <c r="Y10" i="12"/>
  <c r="AG10" i="12" s="1"/>
  <c r="W10" i="12"/>
  <c r="AF10" i="12" s="1"/>
  <c r="U10" i="12"/>
  <c r="AE10" i="12" s="1"/>
  <c r="U23" i="16"/>
  <c r="AD23" i="16" s="1"/>
  <c r="AJ23" i="16" s="1"/>
  <c r="O33" i="16"/>
  <c r="AE33" i="16"/>
  <c r="AK33" i="16" s="1"/>
  <c r="AJ105" i="16"/>
  <c r="AD129" i="16"/>
  <c r="U103" i="16"/>
  <c r="AD103" i="16" s="1"/>
  <c r="U113" i="16"/>
  <c r="AD113" i="16" s="1"/>
  <c r="AJ113" i="16" s="1"/>
  <c r="Y128" i="16"/>
  <c r="U92" i="16"/>
  <c r="AD92" i="16" s="1"/>
  <c r="AJ92" i="16" s="1"/>
  <c r="AC92" i="16"/>
  <c r="AI92" i="16" s="1"/>
  <c r="S122" i="16"/>
  <c r="AC122" i="16" s="1"/>
  <c r="AI122" i="16" s="1"/>
  <c r="H125" i="16"/>
  <c r="AJ129" i="16"/>
  <c r="Y107" i="12"/>
  <c r="Y109" i="12" s="1"/>
  <c r="W107" i="12"/>
  <c r="W109" i="12" s="1"/>
  <c r="U107" i="12"/>
  <c r="U109" i="12" s="1"/>
  <c r="AA107" i="12"/>
  <c r="AA109" i="12" s="1"/>
  <c r="AG107" i="12"/>
  <c r="AG109" i="12" s="1"/>
  <c r="AF107" i="12"/>
  <c r="AF109" i="12" s="1"/>
  <c r="AH107" i="12"/>
  <c r="AH109" i="12" s="1"/>
  <c r="AE107" i="12"/>
  <c r="AE109" i="12" s="1"/>
  <c r="AN107" i="12"/>
  <c r="AN109" i="12" s="1"/>
  <c r="AC107" i="12"/>
  <c r="AC109" i="12" s="1"/>
  <c r="AK107" i="12"/>
  <c r="AK109" i="12" s="1"/>
  <c r="AI107" i="12"/>
  <c r="AI109" i="12" s="1"/>
  <c r="AL107" i="12"/>
  <c r="AL109" i="12" s="1"/>
  <c r="AM107" i="12"/>
  <c r="AM109" i="12" s="1"/>
  <c r="AO107" i="12"/>
  <c r="AO109" i="12" s="1"/>
  <c r="O63" i="12" l="1"/>
  <c r="O74" i="12"/>
  <c r="P65" i="12"/>
  <c r="P63" i="12" s="1"/>
  <c r="F63" i="12"/>
  <c r="N21" i="12"/>
  <c r="L20" i="12"/>
  <c r="J20" i="12"/>
  <c r="F20" i="12"/>
  <c r="P20" i="12" s="1"/>
  <c r="F81" i="12"/>
  <c r="Q82" i="12"/>
  <c r="O81" i="12"/>
  <c r="H105" i="12"/>
  <c r="J30" i="12"/>
  <c r="F30" i="12"/>
  <c r="H30" i="12"/>
  <c r="L30" i="12"/>
  <c r="D21" i="12"/>
  <c r="P8" i="26"/>
  <c r="U36" i="12"/>
  <c r="AE36" i="12" s="1"/>
  <c r="H38" i="12"/>
  <c r="AA37" i="12"/>
  <c r="AH37" i="12" s="1"/>
  <c r="AN37" i="12" s="1"/>
  <c r="L98" i="16"/>
  <c r="L99" i="16"/>
  <c r="Y99" i="16" s="1"/>
  <c r="AF99" i="16" s="1"/>
  <c r="AL99" i="16" s="1"/>
  <c r="AI91" i="16"/>
  <c r="AM91" i="16" s="1"/>
  <c r="AA121" i="16"/>
  <c r="L100" i="16"/>
  <c r="Y100" i="16" s="1"/>
  <c r="AF100" i="16" s="1"/>
  <c r="AL100" i="16" s="1"/>
  <c r="H46" i="16"/>
  <c r="U46" i="16" s="1"/>
  <c r="AD46" i="16" s="1"/>
  <c r="AJ46" i="16" s="1"/>
  <c r="L81" i="16"/>
  <c r="N99" i="16"/>
  <c r="O99" i="16" s="1"/>
  <c r="J47" i="16"/>
  <c r="W47" i="16" s="1"/>
  <c r="F47" i="16"/>
  <c r="S47" i="16" s="1"/>
  <c r="AC47" i="16" s="1"/>
  <c r="N135" i="16"/>
  <c r="H45" i="16"/>
  <c r="U45" i="16" s="1"/>
  <c r="AD45" i="16" s="1"/>
  <c r="F21" i="22"/>
  <c r="F24" i="22" s="1"/>
  <c r="L53" i="16"/>
  <c r="Y53" i="16" s="1"/>
  <c r="AF53" i="16" s="1"/>
  <c r="AL53" i="16" s="1"/>
  <c r="U64" i="16"/>
  <c r="W72" i="16"/>
  <c r="W36" i="12"/>
  <c r="AF36" i="12" s="1"/>
  <c r="AL36" i="12" s="1"/>
  <c r="N69" i="16"/>
  <c r="O69" i="16" s="1"/>
  <c r="AM75" i="16"/>
  <c r="AG103" i="16"/>
  <c r="AG105" i="16"/>
  <c r="H116" i="16"/>
  <c r="N126" i="16"/>
  <c r="O126" i="16" s="1"/>
  <c r="H91" i="16"/>
  <c r="U91" i="16" s="1"/>
  <c r="AD91" i="16" s="1"/>
  <c r="AJ91" i="16" s="1"/>
  <c r="AA118" i="16"/>
  <c r="AB118" i="16" s="1"/>
  <c r="J125" i="16"/>
  <c r="AA84" i="16"/>
  <c r="AM105" i="16"/>
  <c r="F61" i="16"/>
  <c r="AA91" i="16"/>
  <c r="J91" i="16"/>
  <c r="W91" i="16" s="1"/>
  <c r="AE91" i="16" s="1"/>
  <c r="AM95" i="16"/>
  <c r="AA126" i="16"/>
  <c r="L134" i="16"/>
  <c r="AA140" i="16"/>
  <c r="AB140" i="16" s="1"/>
  <c r="S64" i="16"/>
  <c r="AC65" i="16"/>
  <c r="AI65" i="16" s="1"/>
  <c r="N122" i="16"/>
  <c r="O122" i="16" s="1"/>
  <c r="Y122" i="16"/>
  <c r="L125" i="16"/>
  <c r="AD65" i="16"/>
  <c r="AD64" i="16" s="1"/>
  <c r="AJ64" i="16" s="1"/>
  <c r="N109" i="16"/>
  <c r="O109" i="16" s="1"/>
  <c r="J79" i="16"/>
  <c r="H72" i="16"/>
  <c r="F68" i="16"/>
  <c r="F76" i="16" s="1"/>
  <c r="N59" i="16"/>
  <c r="O59" i="16" s="1"/>
  <c r="S68" i="16"/>
  <c r="S123" i="16"/>
  <c r="N83" i="16"/>
  <c r="O83" i="16" s="1"/>
  <c r="F116" i="16"/>
  <c r="J72" i="16"/>
  <c r="N107" i="16"/>
  <c r="O107" i="16" s="1"/>
  <c r="N127" i="16"/>
  <c r="AG140" i="16"/>
  <c r="S110" i="16"/>
  <c r="AC110" i="16" s="1"/>
  <c r="AI110" i="16" s="1"/>
  <c r="L113" i="16"/>
  <c r="N113" i="16" s="1"/>
  <c r="O113" i="16" s="1"/>
  <c r="AE121" i="16"/>
  <c r="U116" i="16"/>
  <c r="AA95" i="16"/>
  <c r="AB95" i="16" s="1"/>
  <c r="N128" i="16"/>
  <c r="O128" i="16" s="1"/>
  <c r="AA38" i="16"/>
  <c r="AB38" i="16" s="1"/>
  <c r="N129" i="16"/>
  <c r="O129" i="16" s="1"/>
  <c r="AA36" i="16"/>
  <c r="AB36" i="16" s="1"/>
  <c r="F51" i="18"/>
  <c r="AJ116" i="16"/>
  <c r="E44" i="17"/>
  <c r="N121" i="16"/>
  <c r="O121" i="16" s="1"/>
  <c r="H106" i="16"/>
  <c r="AA93" i="16"/>
  <c r="AB93" i="16" s="1"/>
  <c r="H79" i="16"/>
  <c r="N123" i="16"/>
  <c r="O123" i="16" s="1"/>
  <c r="N120" i="16"/>
  <c r="O120" i="16" s="1"/>
  <c r="S120" i="16"/>
  <c r="N14" i="16"/>
  <c r="O14" i="16" s="1"/>
  <c r="N58" i="16"/>
  <c r="O58" i="16" s="1"/>
  <c r="F72" i="16"/>
  <c r="AA106" i="18"/>
  <c r="M115" i="18"/>
  <c r="U65" i="12"/>
  <c r="AE65" i="12" s="1"/>
  <c r="AK65" i="12" s="1"/>
  <c r="Y65" i="12"/>
  <c r="AG65" i="12" s="1"/>
  <c r="AM65" i="12" s="1"/>
  <c r="E16" i="22"/>
  <c r="E27" i="22" s="1"/>
  <c r="AC68" i="16"/>
  <c r="AI68" i="16" s="1"/>
  <c r="AI69" i="16"/>
  <c r="AM44" i="16"/>
  <c r="AF70" i="16"/>
  <c r="AG70" i="16" s="1"/>
  <c r="AA70" i="16"/>
  <c r="AC94" i="16"/>
  <c r="AI94" i="16" s="1"/>
  <c r="AM94" i="16" s="1"/>
  <c r="AA94" i="16"/>
  <c r="AE130" i="16"/>
  <c r="AK130" i="16" s="1"/>
  <c r="AM130" i="16" s="1"/>
  <c r="AA130" i="16"/>
  <c r="AD74" i="16"/>
  <c r="AJ74" i="16" s="1"/>
  <c r="U72" i="16"/>
  <c r="N51" i="16"/>
  <c r="O51" i="16" s="1"/>
  <c r="Y51" i="16"/>
  <c r="AF51" i="16" s="1"/>
  <c r="AL51" i="16" s="1"/>
  <c r="AF104" i="16"/>
  <c r="AL104" i="16" s="1"/>
  <c r="AM104" i="16" s="1"/>
  <c r="AA104" i="16"/>
  <c r="AI127" i="16"/>
  <c r="AG127" i="16"/>
  <c r="AJ103" i="16"/>
  <c r="AM103" i="16" s="1"/>
  <c r="N21" i="16"/>
  <c r="O21" i="16" s="1"/>
  <c r="AA117" i="16"/>
  <c r="AB117" i="16" s="1"/>
  <c r="AG95" i="16"/>
  <c r="AG21" i="16"/>
  <c r="AD84" i="16"/>
  <c r="AJ84" i="16" s="1"/>
  <c r="N98" i="16"/>
  <c r="O98" i="16" s="1"/>
  <c r="H87" i="16"/>
  <c r="H64" i="16"/>
  <c r="N103" i="16"/>
  <c r="N82" i="16"/>
  <c r="O82" i="16" s="1"/>
  <c r="N66" i="16"/>
  <c r="O66" i="16" s="1"/>
  <c r="AC36" i="16"/>
  <c r="AG36" i="16" s="1"/>
  <c r="AA33" i="16"/>
  <c r="AB33" i="16" s="1"/>
  <c r="AA71" i="16"/>
  <c r="N101" i="16"/>
  <c r="O101" i="16" s="1"/>
  <c r="N130" i="16"/>
  <c r="O130" i="16" s="1"/>
  <c r="N71" i="16"/>
  <c r="O71" i="16" s="1"/>
  <c r="N24" i="16"/>
  <c r="O24" i="16" s="1"/>
  <c r="S51" i="16"/>
  <c r="J68" i="16"/>
  <c r="S73" i="16"/>
  <c r="S109" i="16"/>
  <c r="AC109" i="16" s="1"/>
  <c r="T17" i="18"/>
  <c r="F24" i="18"/>
  <c r="M24" i="18"/>
  <c r="T31" i="18"/>
  <c r="T51" i="18"/>
  <c r="AA96" i="18"/>
  <c r="T115" i="18"/>
  <c r="AA37" i="18"/>
  <c r="N92" i="16"/>
  <c r="O92" i="16" s="1"/>
  <c r="AH160" i="16"/>
  <c r="AA128" i="16"/>
  <c r="AM25" i="16"/>
  <c r="AE126" i="16"/>
  <c r="AK126" i="16" s="1"/>
  <c r="AA25" i="16"/>
  <c r="AG71" i="16"/>
  <c r="F91" i="16"/>
  <c r="N35" i="16"/>
  <c r="O35" i="16" s="1"/>
  <c r="W68" i="16"/>
  <c r="AA105" i="16"/>
  <c r="AB105" i="16" s="1"/>
  <c r="N81" i="16"/>
  <c r="O81" i="16" s="1"/>
  <c r="L52" i="16"/>
  <c r="N52" i="16" s="1"/>
  <c r="H47" i="16"/>
  <c r="U47" i="16" s="1"/>
  <c r="AD47" i="16" s="1"/>
  <c r="AJ47" i="16" s="1"/>
  <c r="N70" i="16"/>
  <c r="Y68" i="16"/>
  <c r="N18" i="16"/>
  <c r="O18" i="16" s="1"/>
  <c r="F64" i="16"/>
  <c r="N131" i="16"/>
  <c r="O131" i="16" s="1"/>
  <c r="M106" i="18"/>
  <c r="K17" i="17"/>
  <c r="L17" i="17" s="1"/>
  <c r="N17" i="17" s="1"/>
  <c r="K13" i="17"/>
  <c r="L13" i="17" s="1"/>
  <c r="N13" i="17" s="1"/>
  <c r="K8" i="17"/>
  <c r="L8" i="17" s="1"/>
  <c r="N8" i="17" s="1"/>
  <c r="K4" i="17"/>
  <c r="L4" i="17" s="1"/>
  <c r="N4" i="17" s="1"/>
  <c r="AD30" i="16"/>
  <c r="AJ30" i="16" s="1"/>
  <c r="AA30" i="16"/>
  <c r="AG25" i="16"/>
  <c r="AG44" i="16"/>
  <c r="AF82" i="16"/>
  <c r="AL82" i="16" s="1"/>
  <c r="AA82" i="16"/>
  <c r="AI83" i="16"/>
  <c r="AM83" i="16" s="1"/>
  <c r="AG83" i="16"/>
  <c r="L39" i="16"/>
  <c r="AA21" i="16"/>
  <c r="AD32" i="16"/>
  <c r="AJ32" i="16" s="1"/>
  <c r="AA32" i="16"/>
  <c r="AB32" i="16" s="1"/>
  <c r="N34" i="16"/>
  <c r="O34" i="16" s="1"/>
  <c r="S34" i="16"/>
  <c r="AC34" i="16" s="1"/>
  <c r="AI34" i="16" s="1"/>
  <c r="AM34" i="16" s="1"/>
  <c r="P142" i="16"/>
  <c r="P144" i="16" s="1"/>
  <c r="L108" i="16"/>
  <c r="F106" i="16"/>
  <c r="S108" i="16"/>
  <c r="AC108" i="16" s="1"/>
  <c r="AI108" i="16" s="1"/>
  <c r="AE69" i="16"/>
  <c r="AG69" i="16" s="1"/>
  <c r="AA69" i="16"/>
  <c r="AB69" i="16" s="1"/>
  <c r="AA101" i="16"/>
  <c r="AF101" i="16"/>
  <c r="AL101" i="16" s="1"/>
  <c r="AM101" i="16" s="1"/>
  <c r="Y81" i="16"/>
  <c r="AK82" i="16"/>
  <c r="Y113" i="16"/>
  <c r="AF113" i="16" s="1"/>
  <c r="AL113" i="16" s="1"/>
  <c r="AM118" i="16"/>
  <c r="AD22" i="16"/>
  <c r="AJ22" i="16" s="1"/>
  <c r="AA22" i="16"/>
  <c r="AA37" i="16"/>
  <c r="AB37" i="16" s="1"/>
  <c r="AC37" i="16"/>
  <c r="AG37" i="16" s="1"/>
  <c r="N136" i="16"/>
  <c r="O136" i="16" s="1"/>
  <c r="J134" i="16"/>
  <c r="S111" i="16"/>
  <c r="L111" i="16"/>
  <c r="AF128" i="16"/>
  <c r="AG128" i="16" s="1"/>
  <c r="U87" i="16"/>
  <c r="O103" i="16"/>
  <c r="AA107" i="16"/>
  <c r="AF107" i="16"/>
  <c r="AL107" i="16" s="1"/>
  <c r="AM107" i="16" s="1"/>
  <c r="AD80" i="16"/>
  <c r="U79" i="16"/>
  <c r="AI32" i="16"/>
  <c r="N23" i="16"/>
  <c r="O23" i="16" s="1"/>
  <c r="S23" i="16"/>
  <c r="U100" i="16"/>
  <c r="AA100" i="16" s="1"/>
  <c r="N100" i="16"/>
  <c r="O100" i="16" s="1"/>
  <c r="AA113" i="16"/>
  <c r="AC113" i="16"/>
  <c r="W119" i="16"/>
  <c r="AE119" i="16" s="1"/>
  <c r="AK119" i="16" s="1"/>
  <c r="J116" i="16"/>
  <c r="AD72" i="16"/>
  <c r="AJ72" i="16" s="1"/>
  <c r="AA103" i="16"/>
  <c r="AB103" i="16" s="1"/>
  <c r="AM140" i="16"/>
  <c r="AD68" i="16"/>
  <c r="AJ68" i="16" s="1"/>
  <c r="N13" i="16"/>
  <c r="O13" i="16" s="1"/>
  <c r="N17" i="16"/>
  <c r="O17" i="16" s="1"/>
  <c r="N19" i="16"/>
  <c r="O19" i="16" s="1"/>
  <c r="N44" i="16"/>
  <c r="O44" i="16" s="1"/>
  <c r="H61" i="16"/>
  <c r="J87" i="16"/>
  <c r="W80" i="16"/>
  <c r="F134" i="16"/>
  <c r="N124" i="16"/>
  <c r="O124" i="16" s="1"/>
  <c r="S119" i="16"/>
  <c r="L119" i="16"/>
  <c r="AA124" i="16"/>
  <c r="AG75" i="16"/>
  <c r="N30" i="16"/>
  <c r="AM71" i="16"/>
  <c r="J61" i="16"/>
  <c r="N60" i="16"/>
  <c r="O60" i="16" s="1"/>
  <c r="L68" i="16"/>
  <c r="S112" i="16"/>
  <c r="AC112" i="16" s="1"/>
  <c r="N132" i="16"/>
  <c r="O132" i="16" s="1"/>
  <c r="AA17" i="18"/>
  <c r="F17" i="18"/>
  <c r="M17" i="18"/>
  <c r="T24" i="18"/>
  <c r="M31" i="18"/>
  <c r="M51" i="18"/>
  <c r="T58" i="18"/>
  <c r="F72" i="18"/>
  <c r="M86" i="18"/>
  <c r="AA24" i="18"/>
  <c r="AA51" i="18"/>
  <c r="T96" i="18"/>
  <c r="K5" i="17"/>
  <c r="L5" i="17" s="1"/>
  <c r="N5" i="17" s="1"/>
  <c r="L61" i="16"/>
  <c r="F58" i="18"/>
  <c r="K6" i="17"/>
  <c r="L6" i="17" s="1"/>
  <c r="N6" i="17" s="1"/>
  <c r="K10" i="17"/>
  <c r="L10" i="17" s="1"/>
  <c r="N10" i="17" s="1"/>
  <c r="L64" i="16"/>
  <c r="U68" i="16"/>
  <c r="N137" i="16"/>
  <c r="O137" i="16" s="1"/>
  <c r="M79" i="18"/>
  <c r="F79" i="18"/>
  <c r="F96" i="18"/>
  <c r="F115" i="18"/>
  <c r="AA115" i="18"/>
  <c r="K16" i="17"/>
  <c r="L16" i="17" s="1"/>
  <c r="N16" i="17" s="1"/>
  <c r="K12" i="17"/>
  <c r="L12" i="17" s="1"/>
  <c r="N12" i="17" s="1"/>
  <c r="K7" i="17"/>
  <c r="L7" i="17" s="1"/>
  <c r="N7" i="17" s="1"/>
  <c r="K3" i="17"/>
  <c r="L3" i="17" s="1"/>
  <c r="N3" i="17" s="1"/>
  <c r="Y110" i="16"/>
  <c r="N110" i="16"/>
  <c r="AI33" i="16"/>
  <c r="AM33" i="16" s="1"/>
  <c r="AG33" i="16"/>
  <c r="AM21" i="16"/>
  <c r="Y98" i="16"/>
  <c r="AI126" i="16"/>
  <c r="AF92" i="16"/>
  <c r="AA92" i="16"/>
  <c r="AC24" i="16"/>
  <c r="AA24" i="16"/>
  <c r="N22" i="16"/>
  <c r="AL23" i="16"/>
  <c r="U29" i="16"/>
  <c r="N29" i="16"/>
  <c r="AA35" i="16"/>
  <c r="AC35" i="16"/>
  <c r="AE66" i="16"/>
  <c r="AA66" i="16"/>
  <c r="AI66" i="16"/>
  <c r="AG101" i="16"/>
  <c r="AG38" i="16"/>
  <c r="AI38" i="16"/>
  <c r="AM38" i="16" s="1"/>
  <c r="Y67" i="16"/>
  <c r="AA67" i="16" s="1"/>
  <c r="N67" i="16"/>
  <c r="E21" i="22"/>
  <c r="N47" i="16"/>
  <c r="N16" i="16"/>
  <c r="O16" i="16" s="1"/>
  <c r="F39" i="16"/>
  <c r="AE22" i="16"/>
  <c r="W39" i="16"/>
  <c r="S26" i="16"/>
  <c r="N26" i="16"/>
  <c r="AI30" i="16"/>
  <c r="AD31" i="16"/>
  <c r="AA31" i="16"/>
  <c r="AB31" i="16" s="1"/>
  <c r="AL70" i="16"/>
  <c r="AM70" i="16" s="1"/>
  <c r="AE73" i="16"/>
  <c r="AC74" i="16"/>
  <c r="L72" i="16"/>
  <c r="L76" i="16" s="1"/>
  <c r="N74" i="16"/>
  <c r="Y74" i="16"/>
  <c r="AF74" i="16" s="1"/>
  <c r="AL74" i="16" s="1"/>
  <c r="F87" i="16"/>
  <c r="S80" i="16"/>
  <c r="L80" i="16"/>
  <c r="F79" i="16"/>
  <c r="AI84" i="16"/>
  <c r="AG93" i="16"/>
  <c r="AJ93" i="16"/>
  <c r="AM93" i="16" s="1"/>
  <c r="AI96" i="16"/>
  <c r="AD99" i="16"/>
  <c r="AJ99" i="16" s="1"/>
  <c r="AA99" i="16"/>
  <c r="AD108" i="16"/>
  <c r="AJ108" i="16" s="1"/>
  <c r="AA109" i="16"/>
  <c r="AF129" i="16"/>
  <c r="AA129" i="16"/>
  <c r="O135" i="16"/>
  <c r="O127" i="16"/>
  <c r="AG118" i="16"/>
  <c r="AD116" i="16"/>
  <c r="AK91" i="16"/>
  <c r="AC22" i="16"/>
  <c r="AC124" i="16"/>
  <c r="AI47" i="16"/>
  <c r="N15" i="16"/>
  <c r="O15" i="16" s="1"/>
  <c r="J39" i="16"/>
  <c r="H39" i="16"/>
  <c r="Y27" i="16"/>
  <c r="N27" i="16"/>
  <c r="AC52" i="16"/>
  <c r="W53" i="16"/>
  <c r="N53" i="16"/>
  <c r="N25" i="16"/>
  <c r="L45" i="16"/>
  <c r="J45" i="16"/>
  <c r="J49" i="16"/>
  <c r="W49" i="16" s="1"/>
  <c r="AE49" i="16" s="1"/>
  <c r="AK49" i="16" s="1"/>
  <c r="H49" i="16"/>
  <c r="U49" i="16" s="1"/>
  <c r="AD49" i="16" s="1"/>
  <c r="AJ49" i="16" s="1"/>
  <c r="F49" i="16"/>
  <c r="N75" i="16"/>
  <c r="N84" i="16"/>
  <c r="N96" i="16"/>
  <c r="U96" i="16"/>
  <c r="AG130" i="16"/>
  <c r="AI99" i="16"/>
  <c r="N65" i="16"/>
  <c r="Y73" i="16"/>
  <c r="N73" i="16"/>
  <c r="AA75" i="16"/>
  <c r="S85" i="16"/>
  <c r="N85" i="16"/>
  <c r="AA97" i="16"/>
  <c r="AB97" i="16" s="1"/>
  <c r="AE97" i="16"/>
  <c r="L54" i="16"/>
  <c r="AA44" i="16"/>
  <c r="L46" i="16"/>
  <c r="F46" i="16"/>
  <c r="S46" i="16" s="1"/>
  <c r="AA83" i="16"/>
  <c r="AD100" i="16"/>
  <c r="S102" i="16"/>
  <c r="L102" i="16"/>
  <c r="N104" i="16"/>
  <c r="AE117" i="16"/>
  <c r="Q78" i="12"/>
  <c r="AE115" i="16"/>
  <c r="AA115" i="16"/>
  <c r="AB115" i="16" s="1"/>
  <c r="AM127" i="16"/>
  <c r="AA139" i="16"/>
  <c r="AB139" i="16" s="1"/>
  <c r="AD139" i="16"/>
  <c r="T106" i="18"/>
  <c r="AA127" i="16"/>
  <c r="AB127" i="16" s="1"/>
  <c r="J106" i="16"/>
  <c r="J50" i="16"/>
  <c r="W50" i="16" s="1"/>
  <c r="AE50" i="16" s="1"/>
  <c r="AK50" i="16" s="1"/>
  <c r="H50" i="16"/>
  <c r="U50" i="16" s="1"/>
  <c r="AD50" i="16" s="1"/>
  <c r="AJ50" i="16" s="1"/>
  <c r="F50" i="16"/>
  <c r="J64" i="16"/>
  <c r="W65" i="16"/>
  <c r="N94" i="16"/>
  <c r="K14" i="17"/>
  <c r="L14" i="17" s="1"/>
  <c r="N14" i="17" s="1"/>
  <c r="K9" i="17"/>
  <c r="L9" i="17" s="1"/>
  <c r="N9" i="17" s="1"/>
  <c r="H68" i="16"/>
  <c r="L86" i="16"/>
  <c r="F125" i="16"/>
  <c r="N133" i="16"/>
  <c r="O133" i="16" s="1"/>
  <c r="N138" i="16"/>
  <c r="O138" i="16" s="1"/>
  <c r="T9" i="18"/>
  <c r="M96" i="18"/>
  <c r="F106" i="18"/>
  <c r="C56" i="17"/>
  <c r="B57" i="17"/>
  <c r="C57" i="17" s="1"/>
  <c r="D57" i="17" s="1"/>
  <c r="E57" i="17" s="1"/>
  <c r="AA31" i="18"/>
  <c r="K15" i="17"/>
  <c r="L15" i="17" s="1"/>
  <c r="N15" i="17" s="1"/>
  <c r="K11" i="17"/>
  <c r="K2" i="17"/>
  <c r="L2" i="17" s="1"/>
  <c r="N112" i="16"/>
  <c r="H134" i="16"/>
  <c r="F31" i="18"/>
  <c r="F16" i="22"/>
  <c r="AA82" i="12"/>
  <c r="AH82" i="12" s="1"/>
  <c r="AN82" i="12" s="1"/>
  <c r="U82" i="12"/>
  <c r="AE82" i="12" s="1"/>
  <c r="AK82" i="12" s="1"/>
  <c r="W82" i="12"/>
  <c r="AF82" i="12" s="1"/>
  <c r="AL82" i="12" s="1"/>
  <c r="U66" i="12"/>
  <c r="Y16" i="12"/>
  <c r="AG16" i="12" s="1"/>
  <c r="AM16" i="12" s="1"/>
  <c r="Y76" i="12"/>
  <c r="AG76" i="12" s="1"/>
  <c r="AM76" i="12" s="1"/>
  <c r="AC104" i="12"/>
  <c r="P80" i="12"/>
  <c r="Q80" i="12" s="1"/>
  <c r="F77" i="12"/>
  <c r="P77" i="12" s="1"/>
  <c r="J37" i="12"/>
  <c r="U56" i="12"/>
  <c r="AE56" i="12" s="1"/>
  <c r="W56" i="12"/>
  <c r="AF56" i="12" s="1"/>
  <c r="AL56" i="12" s="1"/>
  <c r="F37" i="12"/>
  <c r="W37" i="12"/>
  <c r="AF37" i="12" s="1"/>
  <c r="AL37" i="12" s="1"/>
  <c r="AA75" i="12"/>
  <c r="AH75" i="12" s="1"/>
  <c r="AN75" i="12" s="1"/>
  <c r="F75" i="12"/>
  <c r="P75" i="12" s="1"/>
  <c r="AK104" i="12"/>
  <c r="AO104" i="12" s="1"/>
  <c r="AI104" i="12"/>
  <c r="AC72" i="12"/>
  <c r="AE72" i="12"/>
  <c r="AK72" i="12" s="1"/>
  <c r="Y56" i="12"/>
  <c r="AG56" i="12" s="1"/>
  <c r="AM56" i="12" s="1"/>
  <c r="F76" i="12"/>
  <c r="P76" i="12" s="1"/>
  <c r="W76" i="12"/>
  <c r="AF76" i="12" s="1"/>
  <c r="AL76" i="12" s="1"/>
  <c r="AL73" i="12"/>
  <c r="AN36" i="12"/>
  <c r="AG73" i="12"/>
  <c r="AM73" i="12" s="1"/>
  <c r="AC73" i="12"/>
  <c r="AN72" i="12"/>
  <c r="Q53" i="12"/>
  <c r="Y51" i="12"/>
  <c r="AG51" i="12" s="1"/>
  <c r="AM51" i="12" s="1"/>
  <c r="W51" i="12"/>
  <c r="AF51" i="12" s="1"/>
  <c r="AL51" i="12" s="1"/>
  <c r="Y50" i="12"/>
  <c r="AG50" i="12" s="1"/>
  <c r="AM50" i="12" s="1"/>
  <c r="W50" i="12"/>
  <c r="AF50" i="12" s="1"/>
  <c r="AL50" i="12" s="1"/>
  <c r="Y82" i="12"/>
  <c r="P36" i="12"/>
  <c r="Q72" i="12"/>
  <c r="AA16" i="12"/>
  <c r="AH16" i="12" s="1"/>
  <c r="AN16" i="12" s="1"/>
  <c r="U76" i="12" l="1"/>
  <c r="AE76" i="12" s="1"/>
  <c r="P30" i="12"/>
  <c r="P11" i="26"/>
  <c r="O105" i="12"/>
  <c r="F74" i="12"/>
  <c r="F105" i="12" s="1"/>
  <c r="F38" i="12"/>
  <c r="Q65" i="12"/>
  <c r="Y66" i="12"/>
  <c r="AG66" i="12" s="1"/>
  <c r="AM66" i="12" s="1"/>
  <c r="J105" i="12"/>
  <c r="AC36" i="12"/>
  <c r="L38" i="12"/>
  <c r="Q66" i="12"/>
  <c r="U37" i="12"/>
  <c r="AE37" i="12" s="1"/>
  <c r="AK37" i="12" s="1"/>
  <c r="Y37" i="12"/>
  <c r="AG37" i="12" s="1"/>
  <c r="AM37" i="12" s="1"/>
  <c r="AM38" i="12" s="1"/>
  <c r="J38" i="12"/>
  <c r="C21" i="22"/>
  <c r="C24" i="22" s="1"/>
  <c r="AG104" i="16"/>
  <c r="AB129" i="16"/>
  <c r="AB99" i="16"/>
  <c r="AC64" i="16"/>
  <c r="AI64" i="16" s="1"/>
  <c r="AB107" i="16"/>
  <c r="AG94" i="16"/>
  <c r="AJ65" i="16"/>
  <c r="AB113" i="16"/>
  <c r="AD89" i="16"/>
  <c r="AB126" i="16"/>
  <c r="AB83" i="16"/>
  <c r="Y52" i="16"/>
  <c r="AF52" i="16" s="1"/>
  <c r="AL52" i="16" s="1"/>
  <c r="U76" i="16"/>
  <c r="AB121" i="16"/>
  <c r="AG84" i="16"/>
  <c r="AB109" i="16"/>
  <c r="N61" i="16"/>
  <c r="O61" i="16" s="1"/>
  <c r="Q49" i="12"/>
  <c r="AM82" i="16"/>
  <c r="AB71" i="16"/>
  <c r="AJ89" i="16"/>
  <c r="AE66" i="12"/>
  <c r="AK66" i="12" s="1"/>
  <c r="AI65" i="12"/>
  <c r="AC65" i="12"/>
  <c r="AO65" i="12"/>
  <c r="H141" i="16"/>
  <c r="AA52" i="16"/>
  <c r="AM30" i="16"/>
  <c r="AB66" i="16"/>
  <c r="AB92" i="16"/>
  <c r="AB100" i="16"/>
  <c r="L106" i="16"/>
  <c r="J76" i="16"/>
  <c r="AI36" i="16"/>
  <c r="AM36" i="16" s="1"/>
  <c r="AB21" i="16"/>
  <c r="AB82" i="16"/>
  <c r="AB128" i="16"/>
  <c r="P25" i="26"/>
  <c r="AI37" i="16"/>
  <c r="AM37" i="16" s="1"/>
  <c r="AJ76" i="16"/>
  <c r="AA123" i="16"/>
  <c r="AB123" i="16" s="1"/>
  <c r="AC123" i="16"/>
  <c r="AA122" i="16"/>
  <c r="AB122" i="16" s="1"/>
  <c r="AF122" i="16"/>
  <c r="AM32" i="16"/>
  <c r="AB101" i="16"/>
  <c r="AC120" i="16"/>
  <c r="AA120" i="16"/>
  <c r="AB120" i="16" s="1"/>
  <c r="AG107" i="16"/>
  <c r="AG121" i="16"/>
  <c r="AK121" i="16"/>
  <c r="AM121" i="16" s="1"/>
  <c r="D16" i="22"/>
  <c r="D27" i="22" s="1"/>
  <c r="C16" i="22"/>
  <c r="C27" i="22" s="1"/>
  <c r="O70" i="16"/>
  <c r="N68" i="16"/>
  <c r="O68" i="16" s="1"/>
  <c r="H76" i="16"/>
  <c r="AB124" i="16"/>
  <c r="W116" i="16"/>
  <c r="AL128" i="16"/>
  <c r="AM128" i="16" s="1"/>
  <c r="AM84" i="16"/>
  <c r="AB35" i="16"/>
  <c r="AG126" i="16"/>
  <c r="AB130" i="16"/>
  <c r="AG32" i="16"/>
  <c r="AG82" i="16"/>
  <c r="AA68" i="16"/>
  <c r="AB68" i="16" s="1"/>
  <c r="AC51" i="16"/>
  <c r="AA51" i="16"/>
  <c r="AB51" i="16" s="1"/>
  <c r="AG68" i="16"/>
  <c r="AM68" i="16" s="1"/>
  <c r="AM126" i="16"/>
  <c r="F141" i="16"/>
  <c r="AM99" i="16"/>
  <c r="AF68" i="16"/>
  <c r="AL68" i="16" s="1"/>
  <c r="AG30" i="16"/>
  <c r="AC73" i="16"/>
  <c r="AI73" i="16" s="1"/>
  <c r="S72" i="16"/>
  <c r="S76" i="16" s="1"/>
  <c r="AB70" i="16"/>
  <c r="N134" i="16"/>
  <c r="O134" i="16" s="1"/>
  <c r="AA34" i="16"/>
  <c r="AB34" i="16" s="1"/>
  <c r="AG34" i="16"/>
  <c r="AD76" i="16"/>
  <c r="AG112" i="16"/>
  <c r="AI112" i="16"/>
  <c r="AM112" i="16" s="1"/>
  <c r="AC119" i="16"/>
  <c r="AD87" i="16"/>
  <c r="AJ80" i="16"/>
  <c r="AJ87" i="16" s="1"/>
  <c r="J141" i="16"/>
  <c r="S39" i="16"/>
  <c r="H55" i="16"/>
  <c r="H142" i="16" s="1"/>
  <c r="H144" i="16" s="1"/>
  <c r="H145" i="16" s="1"/>
  <c r="AE80" i="16"/>
  <c r="W79" i="16"/>
  <c r="W87" i="16"/>
  <c r="N111" i="16"/>
  <c r="O111" i="16" s="1"/>
  <c r="Y111" i="16"/>
  <c r="AF111" i="16" s="1"/>
  <c r="AL111" i="16" s="1"/>
  <c r="AE68" i="16"/>
  <c r="AK68" i="16" s="1"/>
  <c r="AK69" i="16"/>
  <c r="AM69" i="16" s="1"/>
  <c r="N108" i="16"/>
  <c r="O108" i="16" s="1"/>
  <c r="Y108" i="16"/>
  <c r="AF108" i="16" s="1"/>
  <c r="AL108" i="16" s="1"/>
  <c r="AM108" i="16" s="1"/>
  <c r="Y119" i="16"/>
  <c r="AA119" i="16" s="1"/>
  <c r="N119" i="16"/>
  <c r="L116" i="16"/>
  <c r="AA81" i="16"/>
  <c r="AB81" i="16" s="1"/>
  <c r="AF81" i="16"/>
  <c r="U55" i="16"/>
  <c r="O30" i="16"/>
  <c r="AB30" i="16"/>
  <c r="AA112" i="16"/>
  <c r="AB112" i="16" s="1"/>
  <c r="AI113" i="16"/>
  <c r="AM113" i="16" s="1"/>
  <c r="AG113" i="16"/>
  <c r="AC23" i="16"/>
  <c r="AA23" i="16"/>
  <c r="AB23" i="16" s="1"/>
  <c r="AC111" i="16"/>
  <c r="AA111" i="16"/>
  <c r="AB111" i="16" s="1"/>
  <c r="Q77" i="12"/>
  <c r="N2" i="17"/>
  <c r="S50" i="16"/>
  <c r="L50" i="16"/>
  <c r="AK117" i="16"/>
  <c r="AE116" i="16"/>
  <c r="AE89" i="16" s="1"/>
  <c r="AG117" i="16"/>
  <c r="AC46" i="16"/>
  <c r="O85" i="16"/>
  <c r="Y72" i="16"/>
  <c r="AF73" i="16"/>
  <c r="AD96" i="16"/>
  <c r="AA96" i="16"/>
  <c r="AB96" i="16" s="1"/>
  <c r="S49" i="16"/>
  <c r="L49" i="16"/>
  <c r="N45" i="16"/>
  <c r="Y45" i="16"/>
  <c r="AF27" i="16"/>
  <c r="AA27" i="16"/>
  <c r="AB27" i="16" s="1"/>
  <c r="AG22" i="16"/>
  <c r="AI22" i="16"/>
  <c r="AJ45" i="16"/>
  <c r="AD55" i="16"/>
  <c r="AI109" i="16"/>
  <c r="AM109" i="16" s="1"/>
  <c r="AG109" i="16"/>
  <c r="AI74" i="16"/>
  <c r="AM74" i="16" s="1"/>
  <c r="AG74" i="16"/>
  <c r="AK22" i="16"/>
  <c r="AK39" i="16" s="1"/>
  <c r="AE39" i="16"/>
  <c r="E24" i="22"/>
  <c r="AK66" i="16"/>
  <c r="AG66" i="16"/>
  <c r="AD29" i="16"/>
  <c r="AA29" i="16"/>
  <c r="AB29" i="16" s="1"/>
  <c r="U39" i="16"/>
  <c r="AB24" i="16"/>
  <c r="D21" i="22"/>
  <c r="F27" i="22"/>
  <c r="L11" i="17"/>
  <c r="N11" i="17" s="1"/>
  <c r="M11" i="17"/>
  <c r="Y86" i="16"/>
  <c r="N86" i="16"/>
  <c r="AB94" i="16"/>
  <c r="O94" i="16"/>
  <c r="O104" i="16"/>
  <c r="AB104" i="16"/>
  <c r="AJ100" i="16"/>
  <c r="AM100" i="16" s="1"/>
  <c r="AG100" i="16"/>
  <c r="Y46" i="16"/>
  <c r="AF46" i="16" s="1"/>
  <c r="AL46" i="16" s="1"/>
  <c r="N46" i="16"/>
  <c r="AC85" i="16"/>
  <c r="AA85" i="16"/>
  <c r="AB85" i="16" s="1"/>
  <c r="N64" i="16"/>
  <c r="O65" i="16"/>
  <c r="O96" i="16"/>
  <c r="O25" i="16"/>
  <c r="AB25" i="16"/>
  <c r="AI52" i="16"/>
  <c r="AM52" i="16" s="1"/>
  <c r="AG52" i="16"/>
  <c r="AI124" i="16"/>
  <c r="AG124" i="16"/>
  <c r="Y80" i="16"/>
  <c r="AA80" i="16" s="1"/>
  <c r="L79" i="16"/>
  <c r="N80" i="16"/>
  <c r="L87" i="16"/>
  <c r="O74" i="16"/>
  <c r="AA73" i="16"/>
  <c r="O26" i="16"/>
  <c r="AE47" i="16"/>
  <c r="AA47" i="16"/>
  <c r="AB47" i="16" s="1"/>
  <c r="N125" i="16"/>
  <c r="AI35" i="16"/>
  <c r="AM35" i="16" s="1"/>
  <c r="AG35" i="16"/>
  <c r="O22" i="16"/>
  <c r="AB22" i="16"/>
  <c r="AI24" i="16"/>
  <c r="AM24" i="16" s="1"/>
  <c r="AG24" i="16"/>
  <c r="AL92" i="16"/>
  <c r="AM92" i="16" s="1"/>
  <c r="AG92" i="16"/>
  <c r="O112" i="16"/>
  <c r="W64" i="16"/>
  <c r="W76" i="16" s="1"/>
  <c r="AA65" i="16"/>
  <c r="AA64" i="16" s="1"/>
  <c r="AE65" i="16"/>
  <c r="N102" i="16"/>
  <c r="N91" i="16" s="1"/>
  <c r="Y102" i="16"/>
  <c r="AF102" i="16" s="1"/>
  <c r="AL102" i="16" s="1"/>
  <c r="AG97" i="16"/>
  <c r="AK97" i="16"/>
  <c r="AM97" i="16" s="1"/>
  <c r="AB44" i="16"/>
  <c r="AB84" i="16"/>
  <c r="O84" i="16"/>
  <c r="O53" i="16"/>
  <c r="AL129" i="16"/>
  <c r="AM129" i="16" s="1"/>
  <c r="AG129" i="16"/>
  <c r="S87" i="16"/>
  <c r="AC80" i="16"/>
  <c r="S79" i="16"/>
  <c r="AE72" i="16"/>
  <c r="AK73" i="16"/>
  <c r="AG31" i="16"/>
  <c r="AJ31" i="16"/>
  <c r="AM31" i="16" s="1"/>
  <c r="AC26" i="16"/>
  <c r="AA26" i="16"/>
  <c r="AB26" i="16" s="1"/>
  <c r="O47" i="16"/>
  <c r="F55" i="16"/>
  <c r="O67" i="16"/>
  <c r="AB67" i="16"/>
  <c r="AM66" i="16"/>
  <c r="N39" i="16"/>
  <c r="AB52" i="16"/>
  <c r="O52" i="16"/>
  <c r="AF98" i="16"/>
  <c r="AA98" i="16"/>
  <c r="AB98" i="16" s="1"/>
  <c r="O110" i="16"/>
  <c r="Y75" i="12"/>
  <c r="AG75" i="12" s="1"/>
  <c r="AM75" i="12" s="1"/>
  <c r="AJ139" i="16"/>
  <c r="AM139" i="16" s="1"/>
  <c r="AG139" i="16"/>
  <c r="AK115" i="16"/>
  <c r="AM115" i="16" s="1"/>
  <c r="AG115" i="16"/>
  <c r="AC102" i="16"/>
  <c r="N54" i="16"/>
  <c r="Y54" i="16"/>
  <c r="AC72" i="16"/>
  <c r="AB73" i="16"/>
  <c r="O73" i="16"/>
  <c r="N72" i="16"/>
  <c r="AG99" i="16"/>
  <c r="AB75" i="16"/>
  <c r="O75" i="16"/>
  <c r="J55" i="16"/>
  <c r="W45" i="16"/>
  <c r="AA53" i="16"/>
  <c r="AB53" i="16" s="1"/>
  <c r="AE53" i="16"/>
  <c r="O27" i="16"/>
  <c r="AA74" i="16"/>
  <c r="AB74" i="16" s="1"/>
  <c r="Y39" i="16"/>
  <c r="AF67" i="16"/>
  <c r="Y64" i="16"/>
  <c r="O29" i="16"/>
  <c r="L91" i="16"/>
  <c r="Y91" i="16" s="1"/>
  <c r="AF91" i="16" s="1"/>
  <c r="AA110" i="16"/>
  <c r="AB110" i="16" s="1"/>
  <c r="AF110" i="16"/>
  <c r="AO73" i="12"/>
  <c r="AI73" i="12"/>
  <c r="W38" i="12"/>
  <c r="AO72" i="12"/>
  <c r="P37" i="12"/>
  <c r="AC56" i="12"/>
  <c r="Q56" i="12"/>
  <c r="AK36" i="12"/>
  <c r="AI36" i="12"/>
  <c r="AI72" i="12"/>
  <c r="AK56" i="12"/>
  <c r="AO56" i="12" s="1"/>
  <c r="AI56" i="12"/>
  <c r="AC76" i="12"/>
  <c r="Q76" i="12"/>
  <c r="U75" i="12"/>
  <c r="U64" i="12"/>
  <c r="U51" i="12"/>
  <c r="AK76" i="12"/>
  <c r="AI76" i="12"/>
  <c r="W75" i="12"/>
  <c r="AG82" i="12"/>
  <c r="AC82" i="12"/>
  <c r="AA64" i="12"/>
  <c r="U50" i="12"/>
  <c r="AL38" i="12"/>
  <c r="Q36" i="12"/>
  <c r="AF38" i="12"/>
  <c r="U16" i="12"/>
  <c r="D3" i="22"/>
  <c r="D6" i="22" s="1"/>
  <c r="W64" i="12"/>
  <c r="D14" i="12" l="1"/>
  <c r="D33" i="12" s="1"/>
  <c r="N18" i="12"/>
  <c r="N14" i="12" s="1"/>
  <c r="H18" i="12"/>
  <c r="W18" i="12" s="1"/>
  <c r="D106" i="12"/>
  <c r="D107" i="12" s="1"/>
  <c r="P74" i="12"/>
  <c r="P105" i="12" s="1"/>
  <c r="AC66" i="12"/>
  <c r="F18" i="12"/>
  <c r="F15" i="12"/>
  <c r="H15" i="12"/>
  <c r="AO66" i="12"/>
  <c r="J18" i="12"/>
  <c r="Y18" i="12" s="1"/>
  <c r="AG18" i="12" s="1"/>
  <c r="AM18" i="12" s="1"/>
  <c r="L18" i="12"/>
  <c r="AA18" i="12" s="1"/>
  <c r="AH18" i="12" s="1"/>
  <c r="AN18" i="12" s="1"/>
  <c r="O33" i="12"/>
  <c r="Y38" i="12"/>
  <c r="P38" i="12"/>
  <c r="U38" i="12"/>
  <c r="AE38" i="12"/>
  <c r="AK38" i="12"/>
  <c r="AI66" i="12"/>
  <c r="C3" i="22"/>
  <c r="C6" i="22" s="1"/>
  <c r="F3" i="22"/>
  <c r="F6" i="22" s="1"/>
  <c r="AC37" i="12"/>
  <c r="G21" i="22"/>
  <c r="G24" i="22" s="1"/>
  <c r="AO37" i="12"/>
  <c r="AG38" i="12"/>
  <c r="AI37" i="12"/>
  <c r="Q37" i="12"/>
  <c r="F9" i="22"/>
  <c r="J15" i="12"/>
  <c r="N106" i="16"/>
  <c r="AC116" i="16"/>
  <c r="AC89" i="16" s="1"/>
  <c r="L15" i="12"/>
  <c r="L55" i="16"/>
  <c r="Q79" i="12"/>
  <c r="J142" i="16"/>
  <c r="J144" i="16" s="1"/>
  <c r="J145" i="16" s="1"/>
  <c r="AI123" i="16"/>
  <c r="AM123" i="16" s="1"/>
  <c r="AG123" i="16"/>
  <c r="AI120" i="16"/>
  <c r="AM120" i="16" s="1"/>
  <c r="AG120" i="16"/>
  <c r="AL122" i="16"/>
  <c r="AM122" i="16" s="1"/>
  <c r="AG122" i="16"/>
  <c r="S55" i="16"/>
  <c r="G16" i="22"/>
  <c r="G27" i="22"/>
  <c r="W16" i="12"/>
  <c r="AF16" i="12" s="1"/>
  <c r="AL16" i="12" s="1"/>
  <c r="AI51" i="16"/>
  <c r="AM51" i="16" s="1"/>
  <c r="AG51" i="16"/>
  <c r="F142" i="16"/>
  <c r="F144" i="16" s="1"/>
  <c r="F145" i="16" s="1"/>
  <c r="F146" i="16" s="1"/>
  <c r="AB119" i="16"/>
  <c r="AA116" i="16"/>
  <c r="H146" i="16"/>
  <c r="H147" i="16"/>
  <c r="AI111" i="16"/>
  <c r="AG111" i="16"/>
  <c r="AM111" i="16"/>
  <c r="AK80" i="16"/>
  <c r="AK87" i="16" s="1"/>
  <c r="AE87" i="16"/>
  <c r="AL81" i="16"/>
  <c r="AM81" i="16" s="1"/>
  <c r="AG81" i="16"/>
  <c r="AF119" i="16"/>
  <c r="Y116" i="16"/>
  <c r="AI119" i="16"/>
  <c r="AI116" i="16" s="1"/>
  <c r="AI89" i="16" s="1"/>
  <c r="AG119" i="16"/>
  <c r="AG116" i="16" s="1"/>
  <c r="AG89" i="16" s="1"/>
  <c r="AA39" i="16"/>
  <c r="AA102" i="16"/>
  <c r="AA72" i="16"/>
  <c r="AA76" i="16" s="1"/>
  <c r="AI23" i="16"/>
  <c r="AM23" i="16" s="1"/>
  <c r="AG23" i="16"/>
  <c r="AG108" i="16"/>
  <c r="O119" i="16"/>
  <c r="N116" i="16"/>
  <c r="N141" i="16" s="1"/>
  <c r="AA108" i="16"/>
  <c r="AB108" i="16" s="1"/>
  <c r="AB91" i="16"/>
  <c r="O91" i="16"/>
  <c r="J146" i="16"/>
  <c r="J147" i="16"/>
  <c r="F147" i="16"/>
  <c r="AE45" i="16"/>
  <c r="W55" i="16"/>
  <c r="AA45" i="16"/>
  <c r="AB45" i="16" s="1"/>
  <c r="AG110" i="16"/>
  <c r="AL110" i="16"/>
  <c r="AM110" i="16" s="1"/>
  <c r="N76" i="16"/>
  <c r="O72" i="16"/>
  <c r="AF54" i="16"/>
  <c r="AA54" i="16"/>
  <c r="AB54" i="16" s="1"/>
  <c r="AE64" i="16"/>
  <c r="AK64" i="16" s="1"/>
  <c r="AK65" i="16"/>
  <c r="AG65" i="16"/>
  <c r="C9" i="22"/>
  <c r="C12" i="22" s="1"/>
  <c r="AK47" i="16"/>
  <c r="AM47" i="16" s="1"/>
  <c r="AG47" i="16"/>
  <c r="AM124" i="16"/>
  <c r="AB65" i="16"/>
  <c r="AG85" i="16"/>
  <c r="AI85" i="16"/>
  <c r="AM85" i="16" s="1"/>
  <c r="AA86" i="16"/>
  <c r="AF86" i="16"/>
  <c r="C15" i="22"/>
  <c r="AM22" i="16"/>
  <c r="AL27" i="16"/>
  <c r="AF39" i="16"/>
  <c r="AG27" i="16"/>
  <c r="N49" i="16"/>
  <c r="N55" i="16" s="1"/>
  <c r="Y49" i="16"/>
  <c r="AF49" i="16" s="1"/>
  <c r="AL49" i="16" s="1"/>
  <c r="AL73" i="16"/>
  <c r="AM73" i="16" s="1"/>
  <c r="AF72" i="16"/>
  <c r="AG73" i="16"/>
  <c r="AG72" i="16" s="1"/>
  <c r="AA46" i="16"/>
  <c r="AK116" i="16"/>
  <c r="AK89" i="16" s="1"/>
  <c r="AM117" i="16"/>
  <c r="AK53" i="16"/>
  <c r="AM53" i="16" s="1"/>
  <c r="AG53" i="16"/>
  <c r="O54" i="16"/>
  <c r="AB39" i="16"/>
  <c r="O39" i="16"/>
  <c r="AI80" i="16"/>
  <c r="AC87" i="16"/>
  <c r="Y79" i="16"/>
  <c r="Y87" i="16"/>
  <c r="AF80" i="16"/>
  <c r="AB46" i="16"/>
  <c r="O46" i="16"/>
  <c r="D24" i="22"/>
  <c r="AJ55" i="16"/>
  <c r="AF45" i="16"/>
  <c r="AA49" i="16"/>
  <c r="AC49" i="16"/>
  <c r="Y76" i="16"/>
  <c r="AG46" i="16"/>
  <c r="AI46" i="16"/>
  <c r="N50" i="16"/>
  <c r="Y50" i="16"/>
  <c r="AF50" i="16" s="1"/>
  <c r="AL50" i="16" s="1"/>
  <c r="L141" i="16"/>
  <c r="L142" i="16" s="1"/>
  <c r="L144" i="16" s="1"/>
  <c r="L145" i="16" s="1"/>
  <c r="AL91" i="16"/>
  <c r="AL67" i="16"/>
  <c r="AF64" i="16"/>
  <c r="AL64" i="16" s="1"/>
  <c r="AG67" i="16"/>
  <c r="E9" i="22"/>
  <c r="E12" i="22" s="1"/>
  <c r="E15" i="22"/>
  <c r="AG98" i="16"/>
  <c r="AL98" i="16"/>
  <c r="AM98" i="16" s="1"/>
  <c r="AG26" i="16"/>
  <c r="AI26" i="16"/>
  <c r="AM26" i="16" s="1"/>
  <c r="AK72" i="16"/>
  <c r="AE76" i="16"/>
  <c r="O125" i="16"/>
  <c r="O64" i="16"/>
  <c r="AB64" i="16"/>
  <c r="D15" i="22"/>
  <c r="D18" i="22" s="1"/>
  <c r="D9" i="22"/>
  <c r="D12" i="22" s="1"/>
  <c r="AC39" i="16"/>
  <c r="AC50" i="16"/>
  <c r="AA50" i="16"/>
  <c r="AI72" i="16"/>
  <c r="AI76" i="16" s="1"/>
  <c r="AC76" i="16"/>
  <c r="AI102" i="16"/>
  <c r="AM102" i="16" s="1"/>
  <c r="AG102" i="16"/>
  <c r="O106" i="16"/>
  <c r="AB106" i="16"/>
  <c r="AA79" i="16"/>
  <c r="AA87" i="16"/>
  <c r="O102" i="16"/>
  <c r="AB102" i="16"/>
  <c r="F15" i="22"/>
  <c r="N87" i="16"/>
  <c r="AB80" i="16"/>
  <c r="O80" i="16"/>
  <c r="N79" i="16"/>
  <c r="O86" i="16"/>
  <c r="AB86" i="16"/>
  <c r="AJ29" i="16"/>
  <c r="AG29" i="16"/>
  <c r="AD39" i="16"/>
  <c r="O45" i="16"/>
  <c r="AJ96" i="16"/>
  <c r="AM96" i="16" s="1"/>
  <c r="AG96" i="16"/>
  <c r="L19" i="17"/>
  <c r="L20" i="17" s="1"/>
  <c r="L22" i="17" s="1"/>
  <c r="AE75" i="12"/>
  <c r="AO36" i="12"/>
  <c r="AE16" i="12"/>
  <c r="AE50" i="12"/>
  <c r="AM82" i="12"/>
  <c r="AI82" i="12"/>
  <c r="E3" i="22"/>
  <c r="Y64" i="12"/>
  <c r="AC64" i="12" s="1"/>
  <c r="AA50" i="12"/>
  <c r="AH50" i="12" s="1"/>
  <c r="AN50" i="12" s="1"/>
  <c r="AH64" i="12"/>
  <c r="AA63" i="12"/>
  <c r="AO76" i="12"/>
  <c r="AE51" i="12"/>
  <c r="U48" i="12"/>
  <c r="U59" i="12"/>
  <c r="W59" i="12"/>
  <c r="W48" i="12"/>
  <c r="Q16" i="12"/>
  <c r="AA38" i="12"/>
  <c r="Q75" i="12"/>
  <c r="AA51" i="12"/>
  <c r="AH51" i="12" s="1"/>
  <c r="AN51" i="12" s="1"/>
  <c r="AF64" i="12"/>
  <c r="W63" i="12"/>
  <c r="Y59" i="12"/>
  <c r="Y48" i="12"/>
  <c r="Q64" i="12"/>
  <c r="AF75" i="12"/>
  <c r="AC75" i="12"/>
  <c r="AE64" i="12"/>
  <c r="U63" i="12"/>
  <c r="P15" i="12" l="1"/>
  <c r="U18" i="12"/>
  <c r="AE18" i="12" s="1"/>
  <c r="AK18" i="12" s="1"/>
  <c r="P18" i="12"/>
  <c r="Q18" i="12" s="1"/>
  <c r="N33" i="12"/>
  <c r="N106" i="12" s="1"/>
  <c r="N107" i="12" s="1"/>
  <c r="N109" i="12" s="1"/>
  <c r="F14" i="12"/>
  <c r="L14" i="12"/>
  <c r="J14" i="12"/>
  <c r="H14" i="12"/>
  <c r="U15" i="12"/>
  <c r="AE15" i="12" s="1"/>
  <c r="AK15" i="12" s="1"/>
  <c r="W15" i="12"/>
  <c r="AF15" i="12" s="1"/>
  <c r="AL15" i="12" s="1"/>
  <c r="O106" i="12"/>
  <c r="O107" i="12" s="1"/>
  <c r="AC38" i="12"/>
  <c r="Y15" i="12"/>
  <c r="AG15" i="12" s="1"/>
  <c r="AA15" i="12"/>
  <c r="AH15" i="12" s="1"/>
  <c r="AN15" i="12" s="1"/>
  <c r="Q51" i="12"/>
  <c r="Q59" i="12"/>
  <c r="Q57" i="12"/>
  <c r="AC63" i="12"/>
  <c r="AB72" i="16"/>
  <c r="H22" i="12"/>
  <c r="F22" i="12"/>
  <c r="AU22" i="12" s="1"/>
  <c r="L21" i="12"/>
  <c r="Q50" i="12"/>
  <c r="AC16" i="12"/>
  <c r="AC55" i="16"/>
  <c r="AB116" i="16"/>
  <c r="O116" i="16"/>
  <c r="O141" i="16" s="1"/>
  <c r="AL119" i="16"/>
  <c r="AL116" i="16" s="1"/>
  <c r="AL89" i="16" s="1"/>
  <c r="AF116" i="16"/>
  <c r="AF89" i="16" s="1"/>
  <c r="AG39" i="16"/>
  <c r="O50" i="16"/>
  <c r="AB50" i="16"/>
  <c r="Y55" i="16"/>
  <c r="AL80" i="16"/>
  <c r="AF87" i="16"/>
  <c r="AI87" i="16"/>
  <c r="C18" i="22"/>
  <c r="C26" i="22"/>
  <c r="C29" i="22" s="1"/>
  <c r="O76" i="16"/>
  <c r="AB76" i="16"/>
  <c r="AK45" i="16"/>
  <c r="AE55" i="16"/>
  <c r="AG45" i="16"/>
  <c r="E6" i="22"/>
  <c r="G3" i="22"/>
  <c r="G6" i="22" s="1"/>
  <c r="O87" i="16"/>
  <c r="AB87" i="16"/>
  <c r="AM46" i="16"/>
  <c r="AI49" i="16"/>
  <c r="AM49" i="16" s="1"/>
  <c r="AG49" i="16"/>
  <c r="D26" i="22"/>
  <c r="D29" i="22" s="1"/>
  <c r="AG80" i="16"/>
  <c r="AM27" i="16"/>
  <c r="AL39" i="16"/>
  <c r="AG64" i="16"/>
  <c r="AM64" i="16" s="1"/>
  <c r="AL54" i="16"/>
  <c r="AM54" i="16" s="1"/>
  <c r="AG54" i="16"/>
  <c r="F12" i="22"/>
  <c r="G9" i="22"/>
  <c r="G12" i="22" s="1"/>
  <c r="O55" i="16"/>
  <c r="AB79" i="16"/>
  <c r="O79" i="16"/>
  <c r="N142" i="16"/>
  <c r="N144" i="16" s="1"/>
  <c r="N145" i="16" s="1"/>
  <c r="E18" i="22"/>
  <c r="E26" i="22"/>
  <c r="E29" i="22" s="1"/>
  <c r="L146" i="16"/>
  <c r="L147" i="16"/>
  <c r="AM72" i="16"/>
  <c r="AB49" i="16"/>
  <c r="O49" i="16"/>
  <c r="AL86" i="16"/>
  <c r="AM86" i="16" s="1"/>
  <c r="AG86" i="16"/>
  <c r="AK76" i="16"/>
  <c r="AM65" i="16"/>
  <c r="AA55" i="16"/>
  <c r="AB55" i="16" s="1"/>
  <c r="AJ39" i="16"/>
  <c r="AM29" i="16"/>
  <c r="AM39" i="16" s="1"/>
  <c r="F18" i="22"/>
  <c r="G15" i="22"/>
  <c r="G18" i="22" s="1"/>
  <c r="F26" i="22"/>
  <c r="AI50" i="16"/>
  <c r="AM50" i="16" s="1"/>
  <c r="AG50" i="16"/>
  <c r="AM67" i="16"/>
  <c r="AF55" i="16"/>
  <c r="AL45" i="16"/>
  <c r="AF76" i="16"/>
  <c r="AL72" i="16"/>
  <c r="AL76" i="16" s="1"/>
  <c r="AI39" i="16"/>
  <c r="Q38" i="12"/>
  <c r="AK75" i="12"/>
  <c r="AF18" i="12"/>
  <c r="AK51" i="12"/>
  <c r="AO51" i="12" s="1"/>
  <c r="AI51" i="12"/>
  <c r="AO82" i="12"/>
  <c r="AK16" i="12"/>
  <c r="AI16" i="12"/>
  <c r="AL75" i="12"/>
  <c r="AI75" i="12"/>
  <c r="Q105" i="12"/>
  <c r="U105" i="12"/>
  <c r="AL59" i="12"/>
  <c r="AF59" i="12"/>
  <c r="AN64" i="12"/>
  <c r="AN63" i="12" s="1"/>
  <c r="AH63" i="12"/>
  <c r="AC50" i="12"/>
  <c r="AM59" i="12"/>
  <c r="AG59" i="12"/>
  <c r="AA48" i="12"/>
  <c r="AA59" i="12"/>
  <c r="AE59" i="12"/>
  <c r="AK50" i="12"/>
  <c r="AO50" i="12" s="1"/>
  <c r="AI50" i="12"/>
  <c r="AK64" i="12"/>
  <c r="AE63" i="12"/>
  <c r="W105" i="12"/>
  <c r="AA105" i="12"/>
  <c r="AL64" i="12"/>
  <c r="AL63" i="12" s="1"/>
  <c r="AF63" i="12"/>
  <c r="AH38" i="12"/>
  <c r="AI38" i="12"/>
  <c r="AC51" i="12"/>
  <c r="AG64" i="12"/>
  <c r="Y63" i="12"/>
  <c r="Y105" i="12" s="1"/>
  <c r="AC18" i="12" l="1"/>
  <c r="L33" i="12"/>
  <c r="P14" i="12"/>
  <c r="P22" i="12"/>
  <c r="P21" i="12" s="1"/>
  <c r="F21" i="12"/>
  <c r="F33" i="12" s="1"/>
  <c r="Q15" i="12"/>
  <c r="H21" i="12"/>
  <c r="H33" i="12" s="1"/>
  <c r="H106" i="12" s="1"/>
  <c r="H107" i="12" s="1"/>
  <c r="Q63" i="12"/>
  <c r="AC15" i="12"/>
  <c r="AC105" i="12"/>
  <c r="AL55" i="16"/>
  <c r="U22" i="12"/>
  <c r="W22" i="12"/>
  <c r="H110" i="12"/>
  <c r="AA22" i="12"/>
  <c r="Y22" i="12"/>
  <c r="AM76" i="16"/>
  <c r="AL87" i="16"/>
  <c r="AG76" i="16"/>
  <c r="AG87" i="16"/>
  <c r="AM119" i="16"/>
  <c r="AM116" i="16" s="1"/>
  <c r="AM89" i="16" s="1"/>
  <c r="F29" i="22"/>
  <c r="G26" i="22"/>
  <c r="G29" i="22" s="1"/>
  <c r="AI55" i="16"/>
  <c r="AK55" i="16"/>
  <c r="AM45" i="16"/>
  <c r="AM55" i="16" s="1"/>
  <c r="AM80" i="16"/>
  <c r="AM87" i="16" s="1"/>
  <c r="O142" i="16"/>
  <c r="O144" i="16" s="1"/>
  <c r="AG55" i="16"/>
  <c r="N146" i="16"/>
  <c r="H2" i="16" s="1"/>
  <c r="H3" i="16" s="1"/>
  <c r="N147" i="16"/>
  <c r="O147" i="16" s="1"/>
  <c r="H4" i="16" s="1"/>
  <c r="Q48" i="12"/>
  <c r="F110" i="12"/>
  <c r="AM15" i="12"/>
  <c r="AI15" i="12"/>
  <c r="AL18" i="12"/>
  <c r="AO18" i="12" s="1"/>
  <c r="AI18" i="12"/>
  <c r="AC48" i="12"/>
  <c r="J110" i="12"/>
  <c r="AG63" i="12"/>
  <c r="AG105" i="12" s="1"/>
  <c r="AM64" i="12"/>
  <c r="AM63" i="12" s="1"/>
  <c r="AM105" i="12" s="1"/>
  <c r="AN38" i="12"/>
  <c r="AO38" i="12"/>
  <c r="AE105" i="12"/>
  <c r="AI64" i="12"/>
  <c r="AI63" i="12" s="1"/>
  <c r="AI105" i="12" s="1"/>
  <c r="AN59" i="12"/>
  <c r="AH59" i="12"/>
  <c r="AC59" i="12"/>
  <c r="AF105" i="12"/>
  <c r="AO16" i="12"/>
  <c r="L110" i="12"/>
  <c r="AK63" i="12"/>
  <c r="AI59" i="12"/>
  <c r="AN105" i="12"/>
  <c r="AH105" i="12"/>
  <c r="AK59" i="12"/>
  <c r="AL105" i="12"/>
  <c r="AO75" i="12"/>
  <c r="W21" i="12" l="1"/>
  <c r="AF21" i="12" s="1"/>
  <c r="AL21" i="12" s="1"/>
  <c r="F106" i="12"/>
  <c r="F107" i="12" s="1"/>
  <c r="F109" i="12" s="1"/>
  <c r="AA21" i="12"/>
  <c r="AH21" i="12" s="1"/>
  <c r="AN21" i="12" s="1"/>
  <c r="P33" i="12"/>
  <c r="P34" i="12" s="1"/>
  <c r="Q34" i="12" s="1"/>
  <c r="U21" i="12"/>
  <c r="U33" i="12" s="1"/>
  <c r="AF22" i="12"/>
  <c r="W110" i="12"/>
  <c r="AE22" i="12"/>
  <c r="AC22" i="12"/>
  <c r="U110" i="12"/>
  <c r="AG22" i="12"/>
  <c r="Y110" i="12"/>
  <c r="Q22" i="12"/>
  <c r="AH22" i="12"/>
  <c r="AA110" i="12"/>
  <c r="AO15" i="12"/>
  <c r="AO59" i="12"/>
  <c r="AK105" i="12"/>
  <c r="P110" i="12"/>
  <c r="AO64" i="12"/>
  <c r="AO63" i="12" s="1"/>
  <c r="W33" i="12" l="1"/>
  <c r="Q33" i="12"/>
  <c r="AA33" i="12"/>
  <c r="AE21" i="12"/>
  <c r="AE33" i="12" s="1"/>
  <c r="AC110" i="12"/>
  <c r="AL22" i="12"/>
  <c r="AF110" i="12"/>
  <c r="AF33" i="12"/>
  <c r="AN22" i="12"/>
  <c r="AH33" i="12"/>
  <c r="AH110" i="12"/>
  <c r="AM22" i="12"/>
  <c r="AG110" i="12"/>
  <c r="AK22" i="12"/>
  <c r="AI22" i="12"/>
  <c r="AE110" i="12"/>
  <c r="AO105" i="12"/>
  <c r="L42" i="12"/>
  <c r="P42" i="12" s="1"/>
  <c r="L45" i="12" l="1"/>
  <c r="L106" i="12" s="1"/>
  <c r="L107" i="12" s="1"/>
  <c r="AK21" i="12"/>
  <c r="AN33" i="12"/>
  <c r="AN110" i="12"/>
  <c r="AL110" i="12"/>
  <c r="AL33" i="12"/>
  <c r="AO22" i="12"/>
  <c r="AK110" i="12"/>
  <c r="AI110" i="12"/>
  <c r="AM110" i="12"/>
  <c r="Y42" i="12"/>
  <c r="Y41" i="12" s="1"/>
  <c r="Y45" i="12" s="1"/>
  <c r="W42" i="12"/>
  <c r="W41" i="12" s="1"/>
  <c r="W45" i="12" s="1"/>
  <c r="AE42" i="12"/>
  <c r="U41" i="12"/>
  <c r="U45" i="12" s="1"/>
  <c r="AA42" i="12"/>
  <c r="AK33" i="12" l="1"/>
  <c r="P45" i="12"/>
  <c r="AG42" i="12"/>
  <c r="AM42" i="12" s="1"/>
  <c r="AM45" i="12" s="1"/>
  <c r="AO110" i="12"/>
  <c r="AF42" i="12"/>
  <c r="AL42" i="12" s="1"/>
  <c r="AL45" i="12" s="1"/>
  <c r="Q42" i="12"/>
  <c r="AA41" i="12"/>
  <c r="AA45" i="12" s="1"/>
  <c r="AH42" i="12"/>
  <c r="AC42" i="12"/>
  <c r="AC41" i="12" s="1"/>
  <c r="AC45" i="12" s="1"/>
  <c r="AE41" i="12"/>
  <c r="AK42" i="12"/>
  <c r="P106" i="12" l="1"/>
  <c r="P107" i="12" s="1"/>
  <c r="P109" i="12" s="1"/>
  <c r="AG41" i="12"/>
  <c r="AG45" i="12" s="1"/>
  <c r="AF41" i="12"/>
  <c r="AF45" i="12" s="1"/>
  <c r="AI42" i="12"/>
  <c r="AI41" i="12" s="1"/>
  <c r="AO41" i="12" s="1"/>
  <c r="Q41" i="12"/>
  <c r="AN42" i="12"/>
  <c r="AN45" i="12" s="1"/>
  <c r="AH41" i="12"/>
  <c r="AK45" i="12"/>
  <c r="AE45" i="12"/>
  <c r="AK41" i="12"/>
  <c r="AM41" i="12" l="1"/>
  <c r="AL41" i="12"/>
  <c r="AO42" i="12"/>
  <c r="AO45" i="12" s="1"/>
  <c r="AI45" i="12"/>
  <c r="Q45" i="12"/>
  <c r="Q107" i="12" s="1"/>
  <c r="AN41" i="12"/>
  <c r="AH45" i="12"/>
  <c r="K47" i="20" l="1"/>
  <c r="K49" i="20" s="1"/>
  <c r="K50" i="20" s="1"/>
  <c r="H109" i="12" l="1"/>
  <c r="L109" i="12"/>
  <c r="Q110" i="12" l="1"/>
  <c r="J21" i="12"/>
  <c r="Y21" i="12" s="1"/>
  <c r="J33" i="12" l="1"/>
  <c r="Y33" i="12"/>
  <c r="AG21" i="12"/>
  <c r="AC21" i="12"/>
  <c r="AC33" i="12" s="1"/>
  <c r="J106" i="12"/>
  <c r="J107" i="12" s="1"/>
  <c r="J109" i="12" s="1"/>
  <c r="AI21" i="12" l="1"/>
  <c r="AI33" i="12" s="1"/>
  <c r="AG33" i="12"/>
  <c r="AM21" i="12"/>
  <c r="AM33" i="12" l="1"/>
  <c r="AO21" i="12"/>
  <c r="AO33" i="12" s="1"/>
  <c r="AF144" i="16"/>
  <c r="AF142" i="16"/>
  <c r="AF125" i="16"/>
  <c r="AF141" i="16"/>
  <c r="AF134" i="16"/>
  <c r="AC144" i="16"/>
  <c r="AC142" i="16"/>
  <c r="AC125" i="16"/>
  <c r="AC141" i="16"/>
  <c r="AC134" i="16"/>
  <c r="AB125" i="16"/>
  <c r="S144" i="16"/>
  <c r="S142" i="16"/>
  <c r="S125" i="16"/>
  <c r="S141" i="16"/>
  <c r="S134" i="16"/>
  <c r="AD144" i="16"/>
  <c r="AD134" i="16"/>
  <c r="AD125" i="16"/>
  <c r="AD141" i="16"/>
  <c r="AD142" i="16"/>
  <c r="W134" i="16"/>
  <c r="W125" i="16"/>
  <c r="W141" i="16"/>
  <c r="W142" i="16"/>
  <c r="W144" i="16"/>
  <c r="AK134" i="16"/>
  <c r="AK125" i="16"/>
  <c r="AK141" i="16"/>
  <c r="AK142" i="16"/>
  <c r="AK144" i="16"/>
  <c r="AG144" i="16"/>
  <c r="AG142" i="16"/>
  <c r="AG125" i="16"/>
  <c r="AG141" i="16"/>
  <c r="AG134" i="16"/>
  <c r="Y134" i="16"/>
  <c r="Y125" i="16"/>
  <c r="Y141" i="16"/>
  <c r="Y142" i="16"/>
  <c r="Y144" i="16"/>
  <c r="U134" i="16"/>
  <c r="U125" i="16"/>
  <c r="U141" i="16"/>
  <c r="U142" i="16"/>
  <c r="U144" i="16"/>
  <c r="AJ134" i="16"/>
  <c r="AJ125" i="16"/>
  <c r="AJ141" i="16"/>
  <c r="AJ142" i="16"/>
  <c r="AJ144" i="16"/>
  <c r="AM144" i="16"/>
  <c r="AM134" i="16"/>
  <c r="AM125" i="16"/>
  <c r="AM141" i="16"/>
  <c r="AM142" i="16"/>
  <c r="AL144" i="16"/>
  <c r="AL134" i="16"/>
  <c r="AL125" i="16"/>
  <c r="AL141" i="16"/>
  <c r="AL142" i="16"/>
  <c r="AI144" i="16"/>
  <c r="AI134" i="16"/>
  <c r="AI125" i="16"/>
  <c r="AI141" i="16"/>
  <c r="AI142" i="16"/>
  <c r="AB142" i="16"/>
  <c r="AB134" i="16"/>
  <c r="AE134" i="16"/>
  <c r="AE125" i="16"/>
  <c r="AE141" i="16"/>
  <c r="AE142" i="16"/>
  <c r="AE144" i="16"/>
  <c r="AB141" i="16"/>
  <c r="AA134" i="16"/>
  <c r="AA125" i="16"/>
  <c r="AA141" i="16"/>
  <c r="AA142" i="16"/>
  <c r="AA144" i="16"/>
  <c r="AB144" i="16"/>
</calcChain>
</file>

<file path=xl/sharedStrings.xml><?xml version="1.0" encoding="utf-8"?>
<sst xmlns="http://schemas.openxmlformats.org/spreadsheetml/2006/main" count="1848" uniqueCount="556">
  <si>
    <t>Summary Thematic  Capacity Building  and Grants Budget</t>
  </si>
  <si>
    <t>Objectives</t>
  </si>
  <si>
    <t>Activities</t>
  </si>
  <si>
    <t>Year 1</t>
  </si>
  <si>
    <t>Year 2</t>
  </si>
  <si>
    <t>Year 3</t>
  </si>
  <si>
    <t>Year 4</t>
  </si>
  <si>
    <t>Total</t>
  </si>
  <si>
    <t>Capacity Building , Coordination and Networking Activities A.1.1 to A.1.7</t>
  </si>
  <si>
    <t>Subgranting under objective  A1.8</t>
  </si>
  <si>
    <t>9 CSOs in year 1</t>
  </si>
  <si>
    <t>Totals  for Objective 1:</t>
  </si>
  <si>
    <t>Capacity Building , Coordination and Networking Activities A.2.1 to A.2.6</t>
  </si>
  <si>
    <t>Subgranting under objective  A.2.7.</t>
  </si>
  <si>
    <t>Totals  for Objective 2:</t>
  </si>
  <si>
    <t>Capacity Building , Coordination and Networking Activities A.3.1 to A.3.8</t>
  </si>
  <si>
    <t>Subgranting under objective  A.3.9.</t>
  </si>
  <si>
    <t>Totals  for Objective 3:</t>
  </si>
  <si>
    <t>Capacity Building , Coordination and Networking Activities A.4.1 to A.4.5.</t>
  </si>
  <si>
    <t>Subgranting under objective  A.4.6.</t>
  </si>
  <si>
    <t>Totals  for Objective 4</t>
  </si>
  <si>
    <t>Total CSOs capacity building, networking and coordination</t>
  </si>
  <si>
    <t xml:space="preserve">Total CSOs Subgranting </t>
  </si>
  <si>
    <t>Total Direct Programme Cost</t>
  </si>
  <si>
    <t xml:space="preserve">TOTAL </t>
  </si>
  <si>
    <t>Description of Costs</t>
  </si>
  <si>
    <t>ActionAid Country: Zambia</t>
  </si>
  <si>
    <t>Budget Ceiling</t>
  </si>
  <si>
    <t>Kwatcha</t>
  </si>
  <si>
    <t xml:space="preserve">Project Name: Strengthening civil society </t>
  </si>
  <si>
    <t>Budgeted</t>
  </si>
  <si>
    <t>Project Dates: 2018-2022</t>
  </si>
  <si>
    <t>Budget variance</t>
  </si>
  <si>
    <t>Annual Budget in Local Currency</t>
  </si>
  <si>
    <t>Annual Budget in USD</t>
  </si>
  <si>
    <t>Annual Budget in NOK</t>
  </si>
  <si>
    <t>Local Currency:  Kwacha</t>
  </si>
  <si>
    <t xml:space="preserve">Cost recovery </t>
  </si>
  <si>
    <t>Rate LCY:USD</t>
  </si>
  <si>
    <t>Rate USD:NOK</t>
  </si>
  <si>
    <t>Inflation rate: per Annual</t>
  </si>
  <si>
    <t>1</t>
  </si>
  <si>
    <t>Cost Recovery?</t>
  </si>
  <si>
    <t>Units</t>
  </si>
  <si>
    <t>Yr. 0 (2018) unit cost</t>
  </si>
  <si>
    <t>Yr1 (2017) No of Units</t>
  </si>
  <si>
    <t>Y1 July-2018- June 2019  Budget</t>
  </si>
  <si>
    <r>
      <t>Yr</t>
    </r>
    <r>
      <rPr>
        <b/>
        <sz val="11"/>
        <rFont val="Calibri"/>
        <family val="2"/>
      </rPr>
      <t>2 (2018) no of units</t>
    </r>
  </si>
  <si>
    <t>Y2 July 2019-June  2020 Budget</t>
  </si>
  <si>
    <r>
      <t xml:space="preserve">Yr 3 </t>
    </r>
    <r>
      <rPr>
        <b/>
        <sz val="11"/>
        <rFont val="Calibri"/>
        <family val="2"/>
      </rPr>
      <t>(2019) no of units</t>
    </r>
  </si>
  <si>
    <t>Y3 July 2020-June 2021 Budget</t>
  </si>
  <si>
    <r>
      <t xml:space="preserve">Yr 4 </t>
    </r>
    <r>
      <rPr>
        <b/>
        <sz val="11"/>
        <rFont val="Calibri"/>
        <family val="2"/>
      </rPr>
      <t>(2020) no of units</t>
    </r>
  </si>
  <si>
    <t>Y4 July2021-June 2022 Budget</t>
  </si>
  <si>
    <t>Total units</t>
  </si>
  <si>
    <t>Total Cost (Kwacha)</t>
  </si>
  <si>
    <t>Control (should be zero)</t>
  </si>
  <si>
    <t>Explanatory Notes</t>
  </si>
  <si>
    <t>TOTAL</t>
  </si>
  <si>
    <t>Y1 2017  Budget</t>
  </si>
  <si>
    <t>Y2(2018) Budget</t>
  </si>
  <si>
    <t>Y3(2019) Budget</t>
  </si>
  <si>
    <t>Y4(2020) Budget</t>
  </si>
  <si>
    <t>A</t>
  </si>
  <si>
    <t>B</t>
  </si>
  <si>
    <t>C</t>
  </si>
  <si>
    <t>D=(B*C* Inflation)</t>
  </si>
  <si>
    <t>E</t>
  </si>
  <si>
    <t>F= (B*E*Inflation)</t>
  </si>
  <si>
    <t>G</t>
  </si>
  <si>
    <t>H=(G*B*Inflation)</t>
  </si>
  <si>
    <t>I</t>
  </si>
  <si>
    <t>J=(I*B*Inflation)</t>
  </si>
  <si>
    <t>K=(E+G+I)</t>
  </si>
  <si>
    <t>H=(E+F+G)</t>
  </si>
  <si>
    <t>1) Personnel</t>
  </si>
  <si>
    <t xml:space="preserve">ActionAid </t>
  </si>
  <si>
    <t>YR1</t>
  </si>
  <si>
    <t>YR2</t>
  </si>
  <si>
    <t>YR3</t>
  </si>
  <si>
    <t>YR4</t>
  </si>
  <si>
    <t xml:space="preserve">AAZ Direct Staff costs </t>
  </si>
  <si>
    <t>e.g. Program Manager</t>
  </si>
  <si>
    <t>per month</t>
  </si>
  <si>
    <t>e.g. To provide day to day coordination of the project and provide technical support to the partners on carriying out of project activities</t>
  </si>
  <si>
    <t>Project Manager</t>
  </si>
  <si>
    <t>Grants Manager</t>
  </si>
  <si>
    <t>Project Accountant</t>
  </si>
  <si>
    <t>M&amp;E Officer</t>
  </si>
  <si>
    <t>Grants Accountant Officer</t>
  </si>
  <si>
    <t>AAZ Support Staff Costs</t>
  </si>
  <si>
    <t>Y</t>
  </si>
  <si>
    <t>Project Officer (50%)</t>
  </si>
  <si>
    <t>To provide day to day coordination of the project and provide technical support to the partners on carriying out of project activities</t>
  </si>
  <si>
    <t>Project Accountant/Finance Officer(20%)</t>
  </si>
  <si>
    <t>Will spend at least 25% on support on financial activities including reporting and techical advise</t>
  </si>
  <si>
    <t>Public Accou &amp; Govn Coordinator(5%)</t>
  </si>
  <si>
    <t>Impact Assesment &amp; Shared Learning Manager(5%)</t>
  </si>
  <si>
    <t>Head Of Programme (2%)</t>
  </si>
  <si>
    <t>Head Of Finance(2%)</t>
  </si>
  <si>
    <t>Recruitment Cost</t>
  </si>
  <si>
    <t>once</t>
  </si>
  <si>
    <t>AAI Support Staff Costs</t>
  </si>
  <si>
    <t>Sub-total: Personnel</t>
  </si>
  <si>
    <t>2) Consulting</t>
  </si>
  <si>
    <t>On activities in Objective 1</t>
  </si>
  <si>
    <t>Inception workshop</t>
  </si>
  <si>
    <t>Per Day</t>
  </si>
  <si>
    <t>Baseline</t>
  </si>
  <si>
    <t xml:space="preserve">Mid-term Review </t>
  </si>
  <si>
    <t>End of project evaluation</t>
  </si>
  <si>
    <t>On activities in Objective 2</t>
  </si>
  <si>
    <t xml:space="preserve">Sub-total: Consulting </t>
  </si>
  <si>
    <t>3) Capital Equipment</t>
  </si>
  <si>
    <t>Laptops</t>
  </si>
  <si>
    <t>per item</t>
  </si>
  <si>
    <t>Vehicle</t>
  </si>
  <si>
    <t>Printer</t>
  </si>
  <si>
    <t xml:space="preserve">Sub-total: Capital Equipment </t>
  </si>
  <si>
    <t>4) Office, running costs</t>
  </si>
  <si>
    <t>ActionAid - country office</t>
  </si>
  <si>
    <t>Consumables - office supplies</t>
  </si>
  <si>
    <t>Office rent</t>
  </si>
  <si>
    <t>Other services (tel/fax, electricity/heating, maintenance)</t>
  </si>
  <si>
    <t>LRP 1</t>
  </si>
  <si>
    <t>LRP 2</t>
  </si>
  <si>
    <t xml:space="preserve">Sub-total: Office Running Costs </t>
  </si>
  <si>
    <t>5) Baseline and Monitoring and Evaluation</t>
  </si>
  <si>
    <t>per workshop</t>
  </si>
  <si>
    <t>Research/gap analysis</t>
  </si>
  <si>
    <t>Per Validation workshop</t>
  </si>
  <si>
    <t>Monitoring  &amp; support visits</t>
  </si>
  <si>
    <t>per visit</t>
  </si>
  <si>
    <t>Annual Planning and Review meetings</t>
  </si>
  <si>
    <t>per meeting.</t>
  </si>
  <si>
    <t>Financial audit</t>
  </si>
  <si>
    <t>Per Annual</t>
  </si>
  <si>
    <t xml:space="preserve">Sub-total: Monitoring and Evaluation </t>
  </si>
  <si>
    <t>6) Activities</t>
  </si>
  <si>
    <r>
      <t>Objective 1</t>
    </r>
    <r>
      <rPr>
        <sz val="12"/>
        <color theme="1"/>
        <rFont val="Calibri"/>
        <family val="2"/>
        <scheme val="minor"/>
      </rPr>
      <t xml:space="preserve"> – Increase financial base of CSO’s to tackle 4 targeted thematic areas</t>
    </r>
  </si>
  <si>
    <t>Activity 1</t>
  </si>
  <si>
    <t>Per Egangement</t>
  </si>
  <si>
    <t>Activity 2</t>
  </si>
  <si>
    <t>Activity 3</t>
  </si>
  <si>
    <t>Activity 4</t>
  </si>
  <si>
    <t>Activity 5</t>
  </si>
  <si>
    <t>Activity 6</t>
  </si>
  <si>
    <t>Activity 7</t>
  </si>
  <si>
    <t>Activity 8</t>
  </si>
  <si>
    <t>Activity 9</t>
  </si>
  <si>
    <t>Activity 10</t>
  </si>
  <si>
    <t>Activity 11</t>
  </si>
  <si>
    <t>Activity 12</t>
  </si>
  <si>
    <t>per district forum</t>
  </si>
  <si>
    <t>Activity 13</t>
  </si>
  <si>
    <t>Activity 14</t>
  </si>
  <si>
    <t>Objective 2 – Strengthen CSO technical capacity to enable them to address the identified gaps in the 4 thematic areas</t>
  </si>
  <si>
    <t>Per Material</t>
  </si>
  <si>
    <t>Meetings</t>
  </si>
  <si>
    <t>National forum</t>
  </si>
  <si>
    <t>Per Taining workshop</t>
  </si>
  <si>
    <t>District Forum</t>
  </si>
  <si>
    <t>Objective 3 – Improve CSO’s effectiveness and sustainability through knowledge sharing and learning.</t>
  </si>
  <si>
    <t>Objective 4 – Strengthened mechanisms to promote CSO accountability to communities and AAZ</t>
  </si>
  <si>
    <t>Per Copies</t>
  </si>
  <si>
    <t>Objective 5 – Strengthen AAZ capacity to effectively and professionally manage the CSO grants as an intermediary organisation (include reference to AAZ need to role model behaviours expected of grantees e.g. accountability/transparency/vfm etc.</t>
  </si>
  <si>
    <t>Total grant basket</t>
  </si>
  <si>
    <t>Sub-total for the activities</t>
  </si>
  <si>
    <t>Total Expenditure</t>
  </si>
  <si>
    <t>Total Cost</t>
  </si>
  <si>
    <t>Admin contribution  7% of SIDA impl-n cont-n</t>
  </si>
  <si>
    <t>Total cost</t>
  </si>
  <si>
    <t>Total cost recovery* internal only</t>
  </si>
  <si>
    <t>Grade</t>
  </si>
  <si>
    <t>Count</t>
  </si>
  <si>
    <t>Level of effort</t>
  </si>
  <si>
    <t>Basic Pay</t>
  </si>
  <si>
    <t>NAPSA 5%</t>
  </si>
  <si>
    <t>Pension 15%</t>
  </si>
  <si>
    <t>Medical</t>
  </si>
  <si>
    <t>Group Life Assurance 1 %</t>
  </si>
  <si>
    <t>Total Salary cost per month</t>
  </si>
  <si>
    <t>Total project salary cost per month</t>
  </si>
  <si>
    <t>Drivers</t>
  </si>
  <si>
    <t>Hub Manager</t>
  </si>
  <si>
    <t>M&amp;E Manager</t>
  </si>
  <si>
    <t>Thematic Managers</t>
  </si>
  <si>
    <t>Finance assistants</t>
  </si>
  <si>
    <t>Communication Manager</t>
  </si>
  <si>
    <t>HOPP</t>
  </si>
  <si>
    <t>HOFPS</t>
  </si>
  <si>
    <t>HOF</t>
  </si>
  <si>
    <t>HROD</t>
  </si>
  <si>
    <t>Country Director</t>
  </si>
  <si>
    <t>Total per month</t>
  </si>
  <si>
    <t>Total  per Year</t>
  </si>
  <si>
    <t>Reuccuring exp</t>
  </si>
  <si>
    <t>Total cost per month</t>
  </si>
  <si>
    <t xml:space="preserve">Total office staff </t>
  </si>
  <si>
    <t>project staff</t>
  </si>
  <si>
    <t>project cost per month</t>
  </si>
  <si>
    <t>% of total cost</t>
  </si>
  <si>
    <t>comment</t>
  </si>
  <si>
    <t>Country office rent</t>
  </si>
  <si>
    <t>in propotion of total staff at the country office</t>
  </si>
  <si>
    <t>Country office consumables</t>
  </si>
  <si>
    <t>in propotion of total staff  at the country office</t>
  </si>
  <si>
    <t>2 Excisting HuB offices rent</t>
  </si>
  <si>
    <t>in propotion of total staff at the excisting hub offices (one third)</t>
  </si>
  <si>
    <t>3  new Hub offices rent</t>
  </si>
  <si>
    <t>100% project</t>
  </si>
  <si>
    <t>excisting hubs consumables &amp; other services</t>
  </si>
  <si>
    <t>3 new hubs consubables</t>
  </si>
  <si>
    <t>Vehicles running cost (fuel ensurance, maintanance)</t>
  </si>
  <si>
    <t>Running costs for one veicle</t>
  </si>
  <si>
    <t>Capital Equipment</t>
  </si>
  <si>
    <t>cost per item</t>
  </si>
  <si>
    <t>Items</t>
  </si>
  <si>
    <t xml:space="preserve">total project cost </t>
  </si>
  <si>
    <t xml:space="preserve">Laptops </t>
  </si>
  <si>
    <t xml:space="preserve">Printers </t>
  </si>
  <si>
    <t>Vehicles</t>
  </si>
  <si>
    <t>Furniture (cabinets, desks, kitchen)</t>
  </si>
  <si>
    <t>Camera</t>
  </si>
  <si>
    <t>Project Audit</t>
  </si>
  <si>
    <t>Statitory Audit</t>
  </si>
  <si>
    <t>6) AAZ Capacity Building</t>
  </si>
  <si>
    <t>Kwacha</t>
  </si>
  <si>
    <t>GFS Implementation - licensing</t>
  </si>
  <si>
    <t xml:space="preserve">consultancy </t>
  </si>
  <si>
    <t>Training</t>
  </si>
  <si>
    <t>PM (6 months)</t>
  </si>
  <si>
    <t>Objective 1 – Strengthen capacity of non-state actors to improve their effectiveness and sustainability in 4 thematic areas</t>
  </si>
  <si>
    <t xml:space="preserve">Unit costs </t>
  </si>
  <si>
    <t>number of units</t>
  </si>
  <si>
    <t xml:space="preserve">Total project costs </t>
  </si>
  <si>
    <t>Comment</t>
  </si>
  <si>
    <t xml:space="preserve">A1: Conduct technical capacity assessments amongst identified CSOs   </t>
  </si>
  <si>
    <t xml:space="preserve"> A2: Provide technical capacity building to CSOs focusing on identified gaps in the areas of raising awareness and demand for human rights, and promotion of democratic state accountability and transparency on the 4 thematic areas</t>
  </si>
  <si>
    <t xml:space="preserve">A1: Conduct organizational capacity assessments amongst CSOs focusing on systems required to implement the project mandate and ensure accountability to stakeholders </t>
  </si>
  <si>
    <t>A2: Conduct institutional capacity building and support the strengthening of organizational systems and processes</t>
  </si>
  <si>
    <t>hub-managers, finance + grant managers</t>
  </si>
  <si>
    <t>Objective 1: To strengthen the capacity of non-state actors to improve their effectiveness and sustainability in the 4 thematic areas</t>
  </si>
  <si>
    <t>Objective 2: To Strengthening mechanisms and coordination to promote CSOs accountability to all key stakeholders</t>
  </si>
  <si>
    <t>Objective 3: Enhanced capacity of AAZ to effectively support civil society in Zambia</t>
  </si>
  <si>
    <t>Monitoring &amp; Evaluation</t>
  </si>
  <si>
    <t>Activity</t>
  </si>
  <si>
    <t>Description</t>
  </si>
  <si>
    <t>Freq</t>
  </si>
  <si>
    <t># Of Units</t>
  </si>
  <si>
    <t>Unit Cost</t>
  </si>
  <si>
    <t>Total Cost
(in ZMW)</t>
  </si>
  <si>
    <t># of Partrs</t>
  </si>
  <si>
    <t>Conduct technical capacity assessment amongst identified CSOs</t>
  </si>
  <si>
    <t>Fuel</t>
  </si>
  <si>
    <t>GFS Implementation</t>
  </si>
  <si>
    <t>Per Implementation</t>
  </si>
  <si>
    <t>Accomodation</t>
  </si>
  <si>
    <t>Perdiem</t>
  </si>
  <si>
    <t>Project Manager Costs</t>
  </si>
  <si>
    <t>Communication</t>
  </si>
  <si>
    <t>Travel Costs</t>
  </si>
  <si>
    <t>Total Activity Cost</t>
  </si>
  <si>
    <t>A2 Provide technical capacity building to CSOs</t>
  </si>
  <si>
    <t>Transport</t>
  </si>
  <si>
    <t>Monitoring &amp; support visits</t>
  </si>
  <si>
    <t>Conference</t>
  </si>
  <si>
    <t>Meals</t>
  </si>
  <si>
    <t>stationery</t>
  </si>
  <si>
    <t>A1 Conduct organisational capacity assessment amongest CSOs focusing of systems required to implement the project</t>
  </si>
  <si>
    <t>Annual review</t>
  </si>
  <si>
    <t>Conduct institutional capacity building(Finance) &amp; support the strengthening of organisational systems &amp; processes</t>
  </si>
  <si>
    <t>Mid-term review</t>
  </si>
  <si>
    <t>Annual planning</t>
  </si>
  <si>
    <t>PRRP</t>
  </si>
  <si>
    <t>Conduct institutional capacity building(M&amp;E) &amp; support the strengthening of organisational systems &amp; processes</t>
  </si>
  <si>
    <t xml:space="preserve">Grant monitoring visits </t>
  </si>
  <si>
    <t>Conduct organisational capacity building &amp; support the strengthening of organisational systems &amp; processes</t>
  </si>
  <si>
    <t>Project</t>
  </si>
  <si>
    <t>Recruiting grant assessment committee</t>
  </si>
  <si>
    <t>Advertising</t>
  </si>
  <si>
    <t>Statutory audit(25%)</t>
  </si>
  <si>
    <t>Refreshments</t>
  </si>
  <si>
    <t>Selection of shortlisted CSOs for capacity development</t>
  </si>
  <si>
    <t>Sitting Allowance</t>
  </si>
  <si>
    <t xml:space="preserve">Lunch </t>
  </si>
  <si>
    <t>Expression of interests for grants</t>
  </si>
  <si>
    <t>Advertising(Papers)</t>
  </si>
  <si>
    <t>Advertising(Local Radio)</t>
  </si>
  <si>
    <t>Advertising for expression of interests for CSOs capacity building</t>
  </si>
  <si>
    <t>Advert</t>
  </si>
  <si>
    <t>Selection of grants recepients</t>
  </si>
  <si>
    <t>3.6 Change management workshop</t>
  </si>
  <si>
    <t>Conference package</t>
  </si>
  <si>
    <t>Travel AAI</t>
  </si>
  <si>
    <t>Inception meeting(Internal)</t>
  </si>
  <si>
    <t>3.7 AAZ grant management capacity building</t>
  </si>
  <si>
    <t>Travel AAS/GS</t>
  </si>
  <si>
    <t>Inception meeting(Grantees)</t>
  </si>
  <si>
    <t xml:space="preserve">Current </t>
  </si>
  <si>
    <t>Proposed 10% Increase</t>
  </si>
  <si>
    <t>Proposed Funding</t>
  </si>
  <si>
    <t>SN.</t>
  </si>
  <si>
    <t>SURNAME</t>
  </si>
  <si>
    <t>NAME</t>
  </si>
  <si>
    <t>OTHER NAME</t>
  </si>
  <si>
    <t xml:space="preserve"> BASIC SALARY </t>
  </si>
  <si>
    <t>Other Costs</t>
  </si>
  <si>
    <t>Proposed Increase Basic Pay by 10%</t>
  </si>
  <si>
    <t>Other payroll Costs</t>
  </si>
  <si>
    <t>Release of 5% Employee Gratuity Contribution</t>
  </si>
  <si>
    <t>Salary Funding Confirmed Projects</t>
  </si>
  <si>
    <t>Salary Funding SIDA</t>
  </si>
  <si>
    <t>Funding Regular Income</t>
  </si>
  <si>
    <t>NGANGA</t>
  </si>
  <si>
    <t>NALUCHA</t>
  </si>
  <si>
    <t>BERNADETTE</t>
  </si>
  <si>
    <t xml:space="preserve">LUMAYI </t>
  </si>
  <si>
    <t>KENNETH</t>
  </si>
  <si>
    <t>LUNDA</t>
  </si>
  <si>
    <t>JESTON</t>
  </si>
  <si>
    <t>K</t>
  </si>
  <si>
    <t>KAYONGO</t>
  </si>
  <si>
    <t>BRIAN</t>
  </si>
  <si>
    <t>NASILELE</t>
  </si>
  <si>
    <t>MUKELABAI</t>
  </si>
  <si>
    <t>NYENDWA</t>
  </si>
  <si>
    <t>ZAMBWE</t>
  </si>
  <si>
    <t>SARAH</t>
  </si>
  <si>
    <t>NAMBULE</t>
  </si>
  <si>
    <t>CHINYAMA</t>
  </si>
  <si>
    <t>GOODBYE</t>
  </si>
  <si>
    <t xml:space="preserve">KABINGA </t>
  </si>
  <si>
    <t>MUSONDA</t>
  </si>
  <si>
    <t>ZULU</t>
  </si>
  <si>
    <t>MAUREEN</t>
  </si>
  <si>
    <t xml:space="preserve">HAKALIMA </t>
  </si>
  <si>
    <t>HACHANGU</t>
  </si>
  <si>
    <t xml:space="preserve">MULENGA </t>
  </si>
  <si>
    <t>KALOLO</t>
  </si>
  <si>
    <t>DICK</t>
  </si>
  <si>
    <t>MWANSA</t>
  </si>
  <si>
    <t>VIOLET</t>
  </si>
  <si>
    <t>SIAME</t>
  </si>
  <si>
    <t>JOSEPH</t>
  </si>
  <si>
    <t>MAUTU</t>
  </si>
  <si>
    <t>BELINDA</t>
  </si>
  <si>
    <t>MWANAMAMBO</t>
  </si>
  <si>
    <t>DAVID</t>
  </si>
  <si>
    <t xml:space="preserve">SIKANA </t>
  </si>
  <si>
    <t>PRISCA</t>
  </si>
  <si>
    <t>MUTUMBA</t>
  </si>
  <si>
    <t>BWALYA</t>
  </si>
  <si>
    <t>MUSOMA</t>
  </si>
  <si>
    <t xml:space="preserve">MUSONDA </t>
  </si>
  <si>
    <t>MWILA</t>
  </si>
  <si>
    <t>MWALE</t>
  </si>
  <si>
    <t>HELLEN</t>
  </si>
  <si>
    <t>SIZALA</t>
  </si>
  <si>
    <t>GEOFREY</t>
  </si>
  <si>
    <t>MUNYANDI</t>
  </si>
  <si>
    <t>WILMA</t>
  </si>
  <si>
    <t>CHISUPA</t>
  </si>
  <si>
    <t xml:space="preserve">STELLA </t>
  </si>
  <si>
    <t>KASEBA</t>
  </si>
  <si>
    <t>PATEL</t>
  </si>
  <si>
    <t>HENRY</t>
  </si>
  <si>
    <t>SPARK</t>
  </si>
  <si>
    <t>MONICA</t>
  </si>
  <si>
    <t>SIMPASA</t>
  </si>
  <si>
    <t>BRENDA</t>
  </si>
  <si>
    <t>CHIKWANDA</t>
  </si>
  <si>
    <t>SINKALA</t>
  </si>
  <si>
    <t>MWANJA</t>
  </si>
  <si>
    <t>MIRANDA</t>
  </si>
  <si>
    <t>CHISONGO</t>
  </si>
  <si>
    <t>EXHILDA</t>
  </si>
  <si>
    <t>MANG'OLA</t>
  </si>
  <si>
    <t>KAKAD</t>
  </si>
  <si>
    <t>HAKAYOBE</t>
  </si>
  <si>
    <t>MOYOWANYAMBE</t>
  </si>
  <si>
    <t>MUTUNA</t>
  </si>
  <si>
    <t xml:space="preserve">IAN </t>
  </si>
  <si>
    <t>MOYO</t>
  </si>
  <si>
    <t>BHEKUMUSA</t>
  </si>
  <si>
    <t>NDUMBA</t>
  </si>
  <si>
    <t>MWENDABAI</t>
  </si>
  <si>
    <t>CHEMBE</t>
  </si>
  <si>
    <t>MAYONDI</t>
  </si>
  <si>
    <t>NYAMUWELA</t>
  </si>
  <si>
    <t>NSWANA</t>
  </si>
  <si>
    <t>PRUDENCE</t>
  </si>
  <si>
    <t>KALABA</t>
  </si>
  <si>
    <t>ALICE</t>
  </si>
  <si>
    <t>MUDENDA</t>
  </si>
  <si>
    <t>CONCEPTOR</t>
  </si>
  <si>
    <t>NANYIZA</t>
  </si>
  <si>
    <t>MEMORY</t>
  </si>
  <si>
    <t>MWANZA</t>
  </si>
  <si>
    <t>DAVISON</t>
  </si>
  <si>
    <t>MUTALE</t>
  </si>
  <si>
    <t>ANDERSON</t>
  </si>
  <si>
    <t xml:space="preserve">SIMUKOKO </t>
  </si>
  <si>
    <t>NJAVWA</t>
  </si>
  <si>
    <t>ANNEX III. DETAILED BUDGET</t>
  </si>
  <si>
    <t>Annual Budget in KRONOR</t>
  </si>
  <si>
    <t>Annual Budget in GBP</t>
  </si>
  <si>
    <t>Local Currency:  Zambian Kwacha</t>
  </si>
  <si>
    <t>Rate ZK:SKR</t>
  </si>
  <si>
    <t>Rate ZK:GBP</t>
  </si>
  <si>
    <t>Yr. 1 (2024) unit cost</t>
  </si>
  <si>
    <t>Yr1 (2024) No of Units</t>
  </si>
  <si>
    <t>D=(B*C)</t>
  </si>
  <si>
    <t>F= (B*E)</t>
  </si>
  <si>
    <t>H=(B*G)</t>
  </si>
  <si>
    <t>J=(B*I)</t>
  </si>
  <si>
    <t>L=F+H+J+L)</t>
  </si>
  <si>
    <t>YR5</t>
  </si>
  <si>
    <t>YR0</t>
  </si>
  <si>
    <t>2) Capital Equipment</t>
  </si>
  <si>
    <t>3)Recurring and Indirect expenditure</t>
  </si>
  <si>
    <t>4) Grant Compliance and Monitoring and Evaluation (M&amp;E)</t>
  </si>
  <si>
    <t>Per Session</t>
  </si>
  <si>
    <t>Assessment</t>
  </si>
  <si>
    <t>Per meeting</t>
  </si>
  <si>
    <t>Per year</t>
  </si>
  <si>
    <t>Per visit</t>
  </si>
  <si>
    <t>Per Audit</t>
  </si>
  <si>
    <t xml:space="preserve">Sub-total: Grant Compliance and Monitoring &amp; Evaluation </t>
  </si>
  <si>
    <t xml:space="preserve">Per Year </t>
  </si>
  <si>
    <t xml:space="preserve">Per year </t>
  </si>
  <si>
    <t>Per campaingn</t>
  </si>
  <si>
    <t xml:space="preserve">Per tranining </t>
  </si>
  <si>
    <t xml:space="preserve">per year </t>
  </si>
  <si>
    <t>Per Meeting</t>
  </si>
  <si>
    <t>Per Campaign</t>
  </si>
  <si>
    <t>per meeting</t>
  </si>
  <si>
    <t xml:space="preserve">A.4.1 Participate in National and International comemmorations and conferences </t>
  </si>
  <si>
    <t>Per Year</t>
  </si>
  <si>
    <t>A.4.2. Participation in Internation Conferences such as the Africa Climate summit, Conference of Parties (COPs), Africa Mining Indabas etc</t>
  </si>
  <si>
    <t>Per Training</t>
  </si>
  <si>
    <t xml:space="preserve">A.4.4. Social movement building training </t>
  </si>
  <si>
    <t xml:space="preserve">A.4.8. Resource mobilization and proposal writing training </t>
  </si>
  <si>
    <t>A.4.9. Peer to peer learning through exchange visit among sub-grantees</t>
  </si>
  <si>
    <t>per year</t>
  </si>
  <si>
    <t>A4.13 Subgrantee mentorship support by AAZ capacity development officers (Hubs)</t>
  </si>
  <si>
    <t>Sub-total for Direct Programme activities</t>
  </si>
  <si>
    <t xml:space="preserve"> Sida Contribution</t>
  </si>
  <si>
    <t>ZMW/SEK Rate</t>
  </si>
  <si>
    <t>Line Item</t>
  </si>
  <si>
    <t>Participants/ Units</t>
  </si>
  <si>
    <t>No. of Days/ unit</t>
  </si>
  <si>
    <t>Amount (ZMW)</t>
  </si>
  <si>
    <t>Amount (SEK)</t>
  </si>
  <si>
    <t>Cost per Analysis</t>
  </si>
  <si>
    <t>Radio fees</t>
  </si>
  <si>
    <t>Print media</t>
  </si>
  <si>
    <t xml:space="preserve">Awareness Materials </t>
  </si>
  <si>
    <t>Per diem</t>
  </si>
  <si>
    <t xml:space="preserve">Conference </t>
  </si>
  <si>
    <t>fuel</t>
  </si>
  <si>
    <t xml:space="preserve">Comment </t>
  </si>
  <si>
    <t>cost per training</t>
  </si>
  <si>
    <t xml:space="preserve">Pop up banners </t>
  </si>
  <si>
    <t xml:space="preserve">Tranport refunds </t>
  </si>
  <si>
    <t xml:space="preserve">Coomunication </t>
  </si>
  <si>
    <t xml:space="preserve">Transport refunds </t>
  </si>
  <si>
    <t xml:space="preserve">stationery </t>
  </si>
  <si>
    <t>Subtotal :</t>
  </si>
  <si>
    <t>A.4.11 Flexible, innovative and alternative funding support to CSOs and Social Movement Groups to address and promote civic and political participation, anti-corruption, accountability, health rights, environment and climate change governance at all levels.</t>
  </si>
  <si>
    <t xml:space="preserve">A.4.12. Team Building </t>
  </si>
  <si>
    <t>Conference Package</t>
  </si>
  <si>
    <t>Workings</t>
  </si>
  <si>
    <t>Reference</t>
  </si>
  <si>
    <t>Personnel Costing Workings</t>
  </si>
  <si>
    <t>NAPSA Employer</t>
  </si>
  <si>
    <t>Gratuity</t>
  </si>
  <si>
    <t>Group Life Insurance</t>
  </si>
  <si>
    <t>Skills Development Levy</t>
  </si>
  <si>
    <t>NHIMA</t>
  </si>
  <si>
    <t>Total Employee cost</t>
  </si>
  <si>
    <t>%</t>
  </si>
  <si>
    <t>Cost Rec.</t>
  </si>
  <si>
    <t>No. of Staff</t>
  </si>
  <si>
    <t>Budget Amount</t>
  </si>
  <si>
    <t>Totals</t>
  </si>
  <si>
    <t>Internet</t>
  </si>
  <si>
    <t xml:space="preserve">A.4.6. Capacity buiding in climate justice </t>
  </si>
  <si>
    <t xml:space="preserve">A.4.5. Capacity building in Activism, Advocay and engagement strategies </t>
  </si>
  <si>
    <t>A.4.7. capacity buidlding in feminist approaches and power analysis</t>
  </si>
  <si>
    <t>A4.10 Result based management training for AAZ Staff</t>
  </si>
  <si>
    <t xml:space="preserve">A.4.3. AAZ staff Capacity Buiding support </t>
  </si>
  <si>
    <t>AAZ awarenes material (Tshirts , banner, pop ups)</t>
  </si>
  <si>
    <t>Grants &amp; Compliance Coordinator (1)</t>
  </si>
  <si>
    <t>Flight Ticket for Trainer</t>
  </si>
  <si>
    <t>Transport Refunds for Participants</t>
  </si>
  <si>
    <t xml:space="preserve">Tranining fees </t>
  </si>
  <si>
    <t xml:space="preserve">Accomodation -trainer </t>
  </si>
  <si>
    <t>Accomodation - AAZ and partners</t>
  </si>
  <si>
    <t>Transport Refunds for Participants- Bus fare</t>
  </si>
  <si>
    <t xml:space="preserve">Per diem- AAZ and partners </t>
  </si>
  <si>
    <t>4.15. Fundamentals of Social Accountability Monitoring Training Training (PSAM) in Country Training for CSOs</t>
  </si>
  <si>
    <t xml:space="preserve">Per Training </t>
  </si>
  <si>
    <t>1. To enhance Civic Participation, Accountability, and Inclusive Democracy by the year 2028.</t>
  </si>
  <si>
    <t>Objective 2: To advocate for protection of women’s rights and young people in the extractive industry, by promoting effective and inclusive citizen participation in natural resource governance and climate justice by the year 2028.</t>
  </si>
  <si>
    <t>Objective 4: To build institutional capacity for AAZ and Civil Society Organizations (CSOs), fostering effective coordination for joint initiatives and increased collective impact by the year 2028.</t>
  </si>
  <si>
    <t xml:space="preserve">Per training </t>
  </si>
  <si>
    <t>Objective 1: To enhance Civic Participation, Accountability, and Inclusive Democracy by the year 2028.</t>
  </si>
  <si>
    <t>Objective 3:To advocate for Sexual Reproductive Health Rights (SRHR) for adolescents, women, and marginalized people by the year 2028.</t>
  </si>
  <si>
    <t>One meeting in year 1 and another meeting in year3</t>
  </si>
  <si>
    <t>Two staff and two partners will attend PSAM meeting annually.</t>
  </si>
  <si>
    <t xml:space="preserve">Yr5
(2028)
No. of Units  </t>
  </si>
  <si>
    <t>Y4 Jan 2027- Dec 2027 Budget</t>
  </si>
  <si>
    <t>Y1 June 2024- Dec 2024 Budget</t>
  </si>
  <si>
    <t>Y3 Jan 2026 -Dec 2026 Budget</t>
  </si>
  <si>
    <t>L=(B*K)</t>
  </si>
  <si>
    <t>M=(E+G+I+K+L)</t>
  </si>
  <si>
    <t>Y2 Jan 2025-Dec 2025 Budget</t>
  </si>
  <si>
    <t>Y5 Jan 2028 - June 2028</t>
  </si>
  <si>
    <t>Partner Name</t>
  </si>
  <si>
    <t xml:space="preserve"> Direct Project Staff costs on 100%</t>
  </si>
  <si>
    <t xml:space="preserve">5) Direct Programme Activities </t>
  </si>
  <si>
    <t>Project Duration:  August, 2024-June, 2028</t>
  </si>
  <si>
    <t>AAZ Project Name: Strengthening civil society effectiveness in promoting good governance and increased citizen’s awareness  and  demand for human rights in Zambia</t>
  </si>
  <si>
    <t>Partner Project Name:</t>
  </si>
  <si>
    <t xml:space="preserve">Partner Organization: </t>
  </si>
  <si>
    <t>AUGUST  2024 TO JUNE 2028 BUDGET</t>
  </si>
  <si>
    <t>YEAR ONE (2024) BUDGET</t>
  </si>
  <si>
    <t>A4.14. Fundamentals of Social Accountability Monitoring Training Training (PSAM)</t>
  </si>
  <si>
    <t>Executive Director 20%</t>
  </si>
  <si>
    <t>Planned Activities</t>
  </si>
  <si>
    <t>Year 2 (2025)</t>
  </si>
  <si>
    <t>Year 3 (2026)</t>
  </si>
  <si>
    <t>Year 4 (2027)</t>
  </si>
  <si>
    <t>Q2</t>
  </si>
  <si>
    <t>Q3</t>
  </si>
  <si>
    <t>Q4</t>
  </si>
  <si>
    <t>Q1</t>
  </si>
  <si>
    <t>Aug</t>
  </si>
  <si>
    <t>Sep</t>
  </si>
  <si>
    <t>Oct</t>
  </si>
  <si>
    <t>Nov</t>
  </si>
  <si>
    <t>Dec</t>
  </si>
  <si>
    <t>Activity1</t>
  </si>
  <si>
    <t>Activity2</t>
  </si>
  <si>
    <t>Activity3</t>
  </si>
  <si>
    <t>Activity4</t>
  </si>
  <si>
    <t>Activity5</t>
  </si>
  <si>
    <t>ANNEX II: PROGRAMME WORKPLAN 2024-2028</t>
  </si>
  <si>
    <t>Year 1 (2024)</t>
  </si>
  <si>
    <t>Year 5 (2028)</t>
  </si>
  <si>
    <t xml:space="preserve">Partner Organisation: </t>
  </si>
  <si>
    <t>Objective 3:To advocate for Sexual Reproductive Health Rights (SRHR) for adolescents, women, and marginalised people by the year 2028.</t>
  </si>
  <si>
    <t>Objective 4: To build institutional capacity for AAZ and Civil Society Organisations (CSOs), fostering effective coordination for joint initiatives and increased collective impact by the year 2028.</t>
  </si>
  <si>
    <t>Yr2 (2025) no of units</t>
  </si>
  <si>
    <t>Yr 3 (2026) no of units</t>
  </si>
  <si>
    <t>Yr 4 (2027) no of units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</si>
</sst>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4" formatCode="_-&quot;£&quot;* #,##0.00_-;\-&quot;£&quot;* #,##0.00_-;_-&quot;£&quot;* &quot;-&quot;??_-;_-@_-"/>
    <numFmt numFmtId="43" formatCode="_-* #,##0.00_-;\-* #,##0.00_-;_-* &quot;-&quot;??_-;_-@_-"/>
    <numFmt numFmtId="164" formatCode="_(* #,##0_);_(* \(#,##0\);_(* &quot;-&quot;_);_(@_)"/>
    <numFmt numFmtId="165" formatCode="_(&quot;$&quot;* #,##0.00_);_(&quot;$&quot;* \(#,##0.00\);_(&quot;$&quot;* &quot;-&quot;??_);_(@_)"/>
    <numFmt numFmtId="166" formatCode="_(* #,##0.00_);_(* \(#,##0.00\);_(* &quot;-&quot;??_);_(@_)"/>
    <numFmt numFmtId="167" formatCode="_-* #,##0.00\ _k_r_-;\-* #,##0.00\ _k_r_-;_-* &quot;-&quot;??\ _k_r_-;_-@_-"/>
    <numFmt numFmtId="168" formatCode="_-* #,##0_-;\-* #,##0_-;_-* &quot;-&quot;??_-;_-@_-"/>
    <numFmt numFmtId="169" formatCode="_-* #,##0.00\ _F_B_-;\-* #,##0.00\ _F_B_-;_-* &quot;-&quot;??\ _F_B_-;_-@_-"/>
    <numFmt numFmtId="170" formatCode="_ * #,##0.00_ ;_ * \-#,##0.00_ ;_ * &quot;-&quot;??_ ;_ @_ "/>
    <numFmt numFmtId="171" formatCode="_(* #,##0_);_(* \(#,##0\);_(* &quot;-&quot;??_);_(@_)"/>
    <numFmt numFmtId="172" formatCode="_-* #,##0.00\ _€_-;\-* #,##0.00\ _€_-;_-* &quot;-&quot;??\ _€_-;_-@_-"/>
    <numFmt numFmtId="173" formatCode="0.00\ &quot;Cft&quot;"/>
    <numFmt numFmtId="174" formatCode="0.0%"/>
    <numFmt numFmtId="175" formatCode="#,##0.00\ &quot;€&quot;;\-#,##0.00\ &quot;€&quot;"/>
    <numFmt numFmtId="176" formatCode="[$-409]d\-mmm;@"/>
    <numFmt numFmtId="177" formatCode="_(* #,##0.00000_);_(* \(#,##0.00000\);_(* &quot;-&quot;??_);_(@_)"/>
    <numFmt numFmtId="178" formatCode="#,##0.0"/>
    <numFmt numFmtId="179" formatCode="_-* #,##0.00_-;\-* #,##0.00_-;_-* \-??_-;_-@_-"/>
    <numFmt numFmtId="180" formatCode="_-&quot;$&quot;* #,##0.00_-;\-&quot;$&quot;* #,##0.00_-;_-&quot;$&quot;* &quot;-&quot;??_-;_-@_-"/>
    <numFmt numFmtId="181" formatCode="_ &quot;$&quot;\ * #,##0.00_ ;_ &quot;$&quot;\ * \-#,##0.00_ ;_ &quot;$&quot;\ * &quot;-&quot;??_ ;_ @_ "/>
    <numFmt numFmtId="182" formatCode="_ &quot;R&quot;\ * #,##0.00_ ;_ &quot;R&quot;\ * \-#,##0.00_ ;_ &quot;R&quot;\ * &quot;-&quot;??_ ;_ @_ "/>
    <numFmt numFmtId="183" formatCode="[$-409]mmm\-yy;@"/>
    <numFmt numFmtId="184" formatCode="_-[$€-2]* #,##0.00_-;\-[$€-2]* #,##0.00_-;_-[$€-2]* &quot;-&quot;??_-"/>
    <numFmt numFmtId="185" formatCode="[$-409]General"/>
    <numFmt numFmtId="186" formatCode="#\ ?/?\ &quot;No&quot;"/>
    <numFmt numFmtId="187" formatCode="0.00\ &quot;Rft&quot;"/>
    <numFmt numFmtId="188" formatCode="_-* #,##0\ &quot;FB&quot;_-;\-* #,##0\ &quot;FB&quot;_-;_-* &quot;-&quot;\ &quot;FB&quot;_-;_-@_-"/>
    <numFmt numFmtId="189" formatCode="_-* #,##0.00\ &quot;FB&quot;_-;\-* #,##0.00\ &quot;FB&quot;_-;_-* &quot;-&quot;??\ &quot;FB&quot;_-;_-@_-"/>
    <numFmt numFmtId="190" formatCode="0.0"/>
    <numFmt numFmtId="191" formatCode="_-* #,##0\ _k_r_-;\-* #,##0\ _k_r_-;_-* &quot;-&quot;?\ _k_r_-;_-@_-"/>
    <numFmt numFmtId="192" formatCode="_-* #,##0.0\ _k_r_-;\-* #,##0.0\ _k_r_-;_-* &quot;-&quot;?\ _k_r_-;_-@_-"/>
    <numFmt numFmtId="193" formatCode="0.0000"/>
    <numFmt numFmtId="194" formatCode="#,##0;[Red]#,##0"/>
    <numFmt numFmtId="195" formatCode="_(* #,##0.000_);_(* \(#,##0.000\);_(* &quot;-&quot;???_);_(@_)"/>
    <numFmt numFmtId="196" formatCode="_-* #,##0.0_-;\-* #,##0.0_-;_-* &quot;-&quot;??_-;_-@_-"/>
  </numFmts>
  <fonts count="74">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i/>
      <sz val="11"/>
      <name val="Calibri"/>
      <family val="2"/>
      <scheme val="minor"/>
    </font>
    <font>
      <sz val="11"/>
      <color indexed="8"/>
      <name val="Calibri"/>
      <family val="2"/>
    </font>
    <font>
      <sz val="10"/>
      <name val="Arial"/>
      <family val="2"/>
    </font>
    <font>
      <b/>
      <sz val="14"/>
      <name val="Calibri"/>
      <family val="2"/>
      <scheme val="minor"/>
    </font>
    <font>
      <sz val="12"/>
      <color theme="1"/>
      <name val="Calibri"/>
      <family val="2"/>
      <scheme val="minor"/>
    </font>
    <font>
      <sz val="12"/>
      <name val="Times New Roman"/>
      <family val="1"/>
    </font>
    <font>
      <sz val="11"/>
      <color indexed="9"/>
      <name val="Calibri"/>
      <family val="2"/>
    </font>
    <font>
      <sz val="11"/>
      <color indexed="10"/>
      <name val="Calibri"/>
      <family val="2"/>
    </font>
    <font>
      <b/>
      <sz val="11"/>
      <color indexed="52"/>
      <name val="Calibri"/>
      <family val="2"/>
    </font>
    <font>
      <sz val="11"/>
      <color indexed="52"/>
      <name val="Calibri"/>
      <family val="2"/>
    </font>
    <font>
      <sz val="10"/>
      <color indexed="9"/>
      <name val="Arial"/>
      <family val="2"/>
    </font>
    <font>
      <sz val="10"/>
      <name val="Geneva"/>
    </font>
    <font>
      <sz val="8"/>
      <name val="MS Sans Serif"/>
      <family val="2"/>
    </font>
    <font>
      <sz val="12"/>
      <color theme="1"/>
      <name val="Times New Roman"/>
      <family val="2"/>
    </font>
    <font>
      <sz val="12"/>
      <color indexed="8"/>
      <name val="Times New Roman"/>
      <family val="2"/>
    </font>
    <font>
      <sz val="11"/>
      <color rgb="FF000000"/>
      <name val="Arial"/>
      <family val="2"/>
    </font>
    <font>
      <sz val="11"/>
      <color rgb="FF000000"/>
      <name val="Calibri"/>
      <family val="2"/>
    </font>
    <font>
      <sz val="10"/>
      <name val="Verdana"/>
      <family val="2"/>
    </font>
    <font>
      <b/>
      <sz val="10"/>
      <name val="Arial"/>
      <family val="2"/>
    </font>
    <font>
      <sz val="11"/>
      <color indexed="62"/>
      <name val="Calibri"/>
      <family val="2"/>
    </font>
    <font>
      <b/>
      <i/>
      <sz val="16"/>
      <color rgb="FF000000"/>
      <name val="Arial"/>
      <family val="2"/>
    </font>
    <font>
      <u/>
      <sz val="11"/>
      <color theme="10"/>
      <name val="Calibri"/>
      <family val="2"/>
    </font>
    <font>
      <u/>
      <sz val="11"/>
      <color theme="10"/>
      <name val="Calibri"/>
      <family val="2"/>
      <scheme val="minor"/>
    </font>
    <font>
      <sz val="10"/>
      <name val="Times New Roman"/>
      <family val="1"/>
    </font>
    <font>
      <sz val="10"/>
      <name val="Garamond"/>
      <family val="1"/>
    </font>
    <font>
      <sz val="10"/>
      <name val="Century Schoolbook"/>
      <family val="1"/>
    </font>
    <font>
      <sz val="10"/>
      <color indexed="8"/>
      <name val="Arial"/>
      <family val="2"/>
    </font>
    <font>
      <b/>
      <i/>
      <u/>
      <sz val="11"/>
      <color rgb="FF000000"/>
      <name val="Arial"/>
      <family val="2"/>
    </font>
    <font>
      <sz val="9"/>
      <name val="Arial"/>
      <family val="2"/>
    </font>
    <font>
      <b/>
      <sz val="11"/>
      <name val="Calibri"/>
      <family val="2"/>
    </font>
    <font>
      <b/>
      <sz val="11"/>
      <color rgb="FFFF0000"/>
      <name val="Calibri"/>
      <family val="2"/>
      <scheme val="minor"/>
    </font>
    <font>
      <b/>
      <sz val="8"/>
      <name val="Calibri"/>
      <family val="2"/>
      <scheme val="minor"/>
    </font>
    <font>
      <sz val="8"/>
      <name val="Calibri"/>
      <family val="2"/>
      <scheme val="minor"/>
    </font>
    <font>
      <b/>
      <sz val="12"/>
      <color theme="1"/>
      <name val="Calibri"/>
      <family val="2"/>
      <scheme val="minor"/>
    </font>
    <font>
      <u/>
      <sz val="11"/>
      <color theme="11"/>
      <name val="Calibri"/>
      <family val="2"/>
      <scheme val="minor"/>
    </font>
    <font>
      <b/>
      <i/>
      <sz val="11"/>
      <name val="Calibri"/>
      <family val="2"/>
      <scheme val="minor"/>
    </font>
    <font>
      <b/>
      <sz val="11"/>
      <color theme="1"/>
      <name val="Calibri"/>
      <family val="2"/>
      <scheme val="minor"/>
    </font>
    <font>
      <b/>
      <sz val="10"/>
      <color theme="1"/>
      <name val="Arial"/>
      <family val="2"/>
    </font>
    <font>
      <b/>
      <sz val="8"/>
      <name val="Arial"/>
      <family val="2"/>
    </font>
    <font>
      <sz val="8"/>
      <name val="Arial"/>
      <family val="2"/>
    </font>
    <font>
      <sz val="10"/>
      <color theme="1"/>
      <name val="HelveticaNeue LT 45 Light"/>
      <family val="2"/>
    </font>
    <font>
      <b/>
      <i/>
      <sz val="8"/>
      <name val="Arial"/>
      <family val="2"/>
    </font>
    <font>
      <b/>
      <sz val="11"/>
      <color theme="0"/>
      <name val="Calibri"/>
      <family val="2"/>
      <scheme val="minor"/>
    </font>
    <font>
      <sz val="10"/>
      <color theme="1"/>
      <name val="Arial"/>
      <family val="2"/>
    </font>
    <font>
      <b/>
      <sz val="11"/>
      <name val="Auxilia"/>
      <family val="3"/>
    </font>
    <font>
      <sz val="11"/>
      <name val="Auxilia"/>
      <family val="3"/>
    </font>
    <font>
      <b/>
      <sz val="14"/>
      <name val="Auxilia"/>
      <family val="3"/>
    </font>
    <font>
      <sz val="11"/>
      <color theme="1"/>
      <name val="Auxilia"/>
      <family val="3"/>
    </font>
    <font>
      <sz val="10"/>
      <name val="Auxilia"/>
      <family val="3"/>
    </font>
    <font>
      <sz val="10"/>
      <color theme="1"/>
      <name val="Auxilia"/>
      <family val="3"/>
    </font>
    <font>
      <b/>
      <sz val="10"/>
      <name val="Auxilia"/>
      <family val="3"/>
    </font>
    <font>
      <b/>
      <sz val="12"/>
      <name val="Auxilia"/>
      <family val="3"/>
    </font>
    <font>
      <b/>
      <sz val="11"/>
      <color rgb="FF000000"/>
      <name val="Auxilia"/>
      <family val="3"/>
    </font>
    <font>
      <i/>
      <sz val="11"/>
      <name val="Auxilia"/>
      <family val="3"/>
    </font>
    <font>
      <b/>
      <sz val="10"/>
      <color theme="1"/>
      <name val="Auxilia"/>
      <family val="3"/>
    </font>
    <font>
      <sz val="11"/>
      <color rgb="FFFF0000"/>
      <name val="Auxilia"/>
      <family val="3"/>
    </font>
    <font>
      <sz val="9"/>
      <name val="Auxilia"/>
      <family val="3"/>
    </font>
    <font>
      <b/>
      <i/>
      <sz val="11"/>
      <color indexed="8"/>
      <name val="Auxilia"/>
      <family val="3"/>
    </font>
    <font>
      <b/>
      <u/>
      <sz val="10"/>
      <name val="Auxilia"/>
      <family val="3"/>
    </font>
    <font>
      <sz val="10"/>
      <color rgb="FFFF0000"/>
      <name val="Auxilia"/>
      <family val="3"/>
    </font>
    <font>
      <b/>
      <i/>
      <sz val="10"/>
      <name val="Auxilia"/>
      <family val="3"/>
    </font>
    <font>
      <b/>
      <sz val="14"/>
      <color theme="1"/>
      <name val="Auxilia"/>
      <family val="3"/>
    </font>
    <font>
      <b/>
      <sz val="12"/>
      <color theme="1"/>
      <name val="Auxilia"/>
      <family val="3"/>
    </font>
    <font>
      <b/>
      <sz val="9"/>
      <color theme="1"/>
      <name val="Auxilia"/>
      <family val="3"/>
    </font>
    <font>
      <sz val="12"/>
      <color theme="1"/>
      <name val="Auxilia"/>
      <family val="3"/>
    </font>
    <font>
      <sz val="8"/>
      <color theme="1"/>
      <name val="Auxilia"/>
      <family val="3"/>
    </font>
    <font>
      <sz val="16"/>
      <color theme="1"/>
      <name val="Auxilia"/>
      <family val="3"/>
    </font>
    <font>
      <b/>
      <sz val="11"/>
      <color theme="1"/>
      <name val="Auxilia"/>
      <family val="3"/>
    </font>
    <font>
      <b/>
      <sz val="8"/>
      <color theme="1"/>
      <name val="Auxilia"/>
      <family val="3"/>
    </font>
    <font>
      <b/>
      <sz val="8"/>
      <name val="Auxilia"/>
      <family val="3"/>
    </font>
  </fonts>
  <fills count="4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6"/>
      </patternFill>
    </fill>
    <fill>
      <patternFill patternType="solid">
        <fgColor rgb="FFFFC000"/>
        <bgColor indexed="64"/>
      </patternFill>
    </fill>
    <fill>
      <patternFill patternType="solid">
        <fgColor rgb="FFFFFF00"/>
        <bgColor indexed="64"/>
      </patternFill>
    </fill>
    <fill>
      <patternFill patternType="solid">
        <fgColor rgb="FF8FF4F9"/>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indexed="47"/>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C0000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8" tint="0.39997558519241921"/>
        <bgColor indexed="64"/>
      </patternFill>
    </fill>
  </fills>
  <borders count="61">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indexed="22"/>
      </left>
      <right style="thin">
        <color indexed="22"/>
      </right>
      <top style="thin">
        <color indexed="22"/>
      </top>
      <bottom style="thin">
        <color indexed="22"/>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double">
        <color indexed="12"/>
      </left>
      <right style="double">
        <color indexed="12"/>
      </right>
      <top/>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top style="thin">
        <color auto="1"/>
      </top>
      <bottom style="thin">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top style="thin">
        <color auto="1"/>
      </top>
      <bottom style="thin">
        <color auto="1"/>
      </bottom>
      <diagonal/>
    </border>
    <border>
      <left style="medium">
        <color indexed="64"/>
      </left>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auto="1"/>
      </left>
      <right/>
      <top style="medium">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top style="thin">
        <color indexed="64"/>
      </top>
      <bottom/>
      <diagonal/>
    </border>
    <border>
      <left/>
      <right style="thin">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985">
    <xf numFmtId="0" fontId="0" fillId="0" borderId="0"/>
    <xf numFmtId="43" fontId="1" fillId="0" borderId="0" applyFont="0" applyFill="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170" fontId="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14" borderId="4" applyNumberFormat="0" applyFont="0" applyAlignment="0" applyProtection="0"/>
    <xf numFmtId="9" fontId="6" fillId="0" borderId="0" applyFont="0" applyFill="0" applyBorder="0" applyAlignment="0" applyProtection="0"/>
    <xf numFmtId="43" fontId="5" fillId="0" borderId="0" applyFont="0" applyFill="0" applyBorder="0" applyAlignment="0" applyProtection="0"/>
    <xf numFmtId="166" fontId="6" fillId="0" borderId="0" applyFont="0" applyFill="0" applyBorder="0" applyAlignment="0" applyProtection="0"/>
    <xf numFmtId="0" fontId="9" fillId="0" borderId="0">
      <alignment horizontal="center"/>
    </xf>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2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10" fillId="2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1" fillId="0" borderId="0" applyNumberFormat="0" applyFill="0" applyBorder="0" applyAlignment="0" applyProtection="0"/>
    <xf numFmtId="0" fontId="12" fillId="9" borderId="10" applyNumberFormat="0" applyAlignment="0" applyProtection="0"/>
    <xf numFmtId="0" fontId="12" fillId="9" borderId="10" applyNumberFormat="0" applyAlignment="0" applyProtection="0"/>
    <xf numFmtId="0" fontId="12" fillId="9" borderId="10" applyNumberFormat="0" applyAlignment="0" applyProtection="0"/>
    <xf numFmtId="0" fontId="12" fillId="9" borderId="10" applyNumberFormat="0" applyAlignment="0" applyProtection="0"/>
    <xf numFmtId="0" fontId="13" fillId="0" borderId="11" applyNumberFormat="0" applyFill="0" applyAlignment="0" applyProtection="0"/>
    <xf numFmtId="173" fontId="6" fillId="0" borderId="0"/>
    <xf numFmtId="173" fontId="6" fillId="0" borderId="0"/>
    <xf numFmtId="173" fontId="6" fillId="0" borderId="0"/>
    <xf numFmtId="173" fontId="6" fillId="0" borderId="0"/>
    <xf numFmtId="4" fontId="14" fillId="25" borderId="12">
      <alignment vertical="center"/>
    </xf>
    <xf numFmtId="4" fontId="14" fillId="25" borderId="12">
      <alignment vertical="center"/>
    </xf>
    <xf numFmtId="0" fontId="15" fillId="0" borderId="13"/>
    <xf numFmtId="0" fontId="15" fillId="0" borderId="13"/>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70" fontId="16" fillId="0" borderId="0" applyFont="0" applyFill="0" applyBorder="0" applyAlignment="0" applyProtection="0"/>
    <xf numFmtId="171"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2" fontId="1" fillId="0" borderId="0" applyFont="0" applyFill="0" applyBorder="0" applyAlignment="0" applyProtection="0"/>
    <xf numFmtId="174" fontId="6" fillId="0" borderId="0" applyFont="0" applyFill="0" applyBorder="0" applyAlignment="0" applyProtection="0"/>
    <xf numFmtId="175" fontId="6" fillId="0" borderId="0" applyFont="0" applyFill="0" applyBorder="0" applyAlignment="0" applyProtection="0"/>
    <xf numFmtId="43" fontId="6" fillId="0" borderId="0" applyFill="0" applyBorder="0" applyAlignment="0" applyProtection="0"/>
    <xf numFmtId="43" fontId="1" fillId="0" borderId="0" applyFont="0" applyFill="0" applyBorder="0" applyAlignment="0" applyProtection="0"/>
    <xf numFmtId="166" fontId="5" fillId="0" borderId="0" applyFont="0" applyFill="0" applyBorder="0" applyAlignment="0" applyProtection="0"/>
    <xf numFmtId="16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17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77"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170" fontId="5"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71" fontId="6" fillId="0" borderId="0" applyFont="0" applyFill="0" applyBorder="0" applyAlignment="0" applyProtection="0"/>
    <xf numFmtId="166"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7" fontId="6" fillId="0" borderId="0" applyFill="0" applyBorder="0" applyAlignment="0" applyProtection="0"/>
    <xf numFmtId="167" fontId="6" fillId="0" borderId="0" applyFill="0" applyBorder="0" applyAlignment="0" applyProtection="0"/>
    <xf numFmtId="178" fontId="6" fillId="0" borderId="0" applyFill="0" applyBorder="0" applyAlignment="0" applyProtection="0"/>
    <xf numFmtId="168" fontId="6" fillId="0" borderId="0" applyFill="0" applyBorder="0" applyAlignment="0" applyProtection="0"/>
    <xf numFmtId="43"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6" fillId="0" borderId="0" applyFill="0" applyBorder="0" applyAlignment="0" applyProtection="0"/>
    <xf numFmtId="179" fontId="6" fillId="0" borderId="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18"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0"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175"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170" fontId="1" fillId="0" borderId="0" applyFont="0" applyFill="0" applyBorder="0" applyAlignment="0" applyProtection="0"/>
    <xf numFmtId="166" fontId="1" fillId="0" borderId="0" applyFont="0" applyFill="0" applyBorder="0" applyAlignment="0" applyProtection="0"/>
    <xf numFmtId="166" fontId="5"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8" fontId="6" fillId="0" borderId="0" applyFont="0" applyFill="0" applyBorder="0" applyAlignment="0" applyProtection="0"/>
    <xf numFmtId="167" fontId="6" fillId="0" borderId="0" applyFont="0" applyFill="0" applyBorder="0" applyAlignment="0" applyProtection="0"/>
    <xf numFmtId="43" fontId="6"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166" fontId="19"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43" fontId="1" fillId="0" borderId="0" applyFont="0" applyFill="0" applyBorder="0" applyAlignment="0" applyProtection="0"/>
    <xf numFmtId="178" fontId="6" fillId="0" borderId="0" applyFont="0" applyFill="0" applyBorder="0" applyAlignment="0" applyProtection="0"/>
    <xf numFmtId="166"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0"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14" borderId="4" applyNumberFormat="0" applyFont="0" applyAlignment="0" applyProtection="0"/>
    <xf numFmtId="0" fontId="6" fillId="14" borderId="4" applyNumberFormat="0" applyFont="0" applyAlignment="0" applyProtection="0"/>
    <xf numFmtId="0" fontId="6" fillId="14" borderId="4" applyNumberFormat="0" applyFont="0" applyAlignment="0" applyProtection="0"/>
    <xf numFmtId="0" fontId="6" fillId="14" borderId="4" applyNumberFormat="0" applyFont="0" applyAlignment="0" applyProtection="0"/>
    <xf numFmtId="44" fontId="6" fillId="0" borderId="0" applyFont="0" applyFill="0" applyBorder="0" applyAlignment="0" applyProtection="0"/>
    <xf numFmtId="180" fontId="5" fillId="0" borderId="0" applyFont="0" applyFill="0" applyBorder="0" applyAlignment="0" applyProtection="0"/>
    <xf numFmtId="181" fontId="6" fillId="0" borderId="0" applyFont="0" applyFill="0" applyBorder="0" applyAlignment="0" applyProtection="0"/>
    <xf numFmtId="165" fontId="5" fillId="0" borderId="0" applyFont="0" applyFill="0" applyBorder="0" applyAlignment="0" applyProtection="0"/>
    <xf numFmtId="182" fontId="6" fillId="0" borderId="0" applyFont="0" applyFill="0" applyBorder="0" applyAlignment="0" applyProtection="0"/>
    <xf numFmtId="43" fontId="6" fillId="0" borderId="0" applyFill="0" applyBorder="0" applyAlignment="0" applyProtection="0"/>
    <xf numFmtId="165" fontId="5" fillId="0" borderId="0" applyFont="0" applyFill="0" applyBorder="0" applyAlignment="0" applyProtection="0"/>
    <xf numFmtId="165" fontId="21" fillId="0" borderId="0" applyFont="0" applyFill="0" applyBorder="0" applyAlignment="0" applyProtection="0"/>
    <xf numFmtId="180" fontId="1" fillId="0" borderId="0" applyFont="0" applyFill="0" applyBorder="0" applyAlignment="0" applyProtection="0"/>
    <xf numFmtId="182" fontId="1" fillId="0" borderId="0" applyFont="0" applyFill="0" applyBorder="0" applyAlignment="0" applyProtection="0"/>
    <xf numFmtId="165" fontId="1" fillId="0" borderId="0" applyFont="0" applyFill="0" applyBorder="0" applyAlignment="0" applyProtection="0"/>
    <xf numFmtId="44" fontId="20" fillId="0" borderId="0" applyFont="0" applyFill="0" applyBorder="0" applyAlignment="0" applyProtection="0"/>
    <xf numFmtId="0" fontId="6" fillId="0" borderId="0" applyNumberFormat="0" applyFont="0" applyFill="0" applyBorder="0" applyProtection="0">
      <alignment horizontal="left"/>
    </xf>
    <xf numFmtId="183" fontId="6" fillId="0" borderId="0" applyNumberFormat="0" applyFont="0" applyFill="0" applyBorder="0" applyProtection="0">
      <alignment horizontal="left"/>
    </xf>
    <xf numFmtId="183" fontId="6" fillId="0" borderId="0" applyNumberFormat="0" applyFont="0" applyFill="0" applyBorder="0" applyProtection="0">
      <alignment horizontal="left"/>
    </xf>
    <xf numFmtId="0" fontId="6" fillId="0" borderId="0" applyNumberFormat="0" applyFont="0" applyFill="0" applyBorder="0" applyAlignment="0" applyProtection="0"/>
    <xf numFmtId="183" fontId="6" fillId="0" borderId="0" applyNumberFormat="0" applyFont="0" applyFill="0" applyBorder="0" applyAlignment="0" applyProtection="0"/>
    <xf numFmtId="183" fontId="6" fillId="0" borderId="0" applyNumberFormat="0" applyFont="0" applyFill="0" applyBorder="0" applyAlignment="0" applyProtection="0"/>
    <xf numFmtId="0" fontId="6" fillId="0" borderId="0" applyNumberFormat="0" applyFont="0" applyFill="0" applyBorder="0" applyAlignment="0" applyProtection="0"/>
    <xf numFmtId="183" fontId="6" fillId="0" borderId="0" applyNumberFormat="0" applyFont="0" applyFill="0" applyBorder="0" applyAlignment="0" applyProtection="0"/>
    <xf numFmtId="183" fontId="6" fillId="0" borderId="0" applyNumberFormat="0" applyFont="0" applyFill="0" applyBorder="0" applyAlignment="0" applyProtection="0"/>
    <xf numFmtId="0" fontId="22" fillId="0" borderId="0" applyNumberFormat="0" applyFill="0" applyBorder="0" applyAlignment="0" applyProtection="0"/>
    <xf numFmtId="183" fontId="22" fillId="0" borderId="0" applyNumberFormat="0" applyFill="0" applyBorder="0" applyAlignment="0" applyProtection="0"/>
    <xf numFmtId="183" fontId="22" fillId="0" borderId="0" applyNumberFormat="0" applyFill="0" applyBorder="0" applyAlignment="0" applyProtection="0"/>
    <xf numFmtId="0" fontId="22" fillId="0" borderId="0" applyNumberFormat="0" applyFill="0" applyBorder="0" applyProtection="0">
      <alignment horizontal="left"/>
    </xf>
    <xf numFmtId="183" fontId="22" fillId="0" borderId="0" applyNumberFormat="0" applyFill="0" applyBorder="0" applyProtection="0">
      <alignment horizontal="left"/>
    </xf>
    <xf numFmtId="183" fontId="22" fillId="0" borderId="0" applyNumberFormat="0" applyFill="0" applyBorder="0" applyProtection="0">
      <alignment horizontal="left"/>
    </xf>
    <xf numFmtId="0" fontId="6" fillId="0" borderId="0" applyNumberFormat="0" applyFont="0" applyFill="0" applyBorder="0" applyAlignment="0" applyProtection="0"/>
    <xf numFmtId="183" fontId="6" fillId="0" borderId="0" applyNumberFormat="0" applyFont="0" applyFill="0" applyBorder="0" applyAlignment="0" applyProtection="0"/>
    <xf numFmtId="183" fontId="6" fillId="0" borderId="0" applyNumberFormat="0" applyFont="0" applyFill="0" applyBorder="0" applyAlignment="0" applyProtection="0"/>
    <xf numFmtId="0" fontId="23" fillId="20" borderId="10" applyNumberFormat="0" applyAlignment="0" applyProtection="0"/>
    <xf numFmtId="0" fontId="23" fillId="20" borderId="10" applyNumberFormat="0" applyAlignment="0" applyProtection="0"/>
    <xf numFmtId="0" fontId="23" fillId="20" borderId="10" applyNumberFormat="0" applyAlignment="0" applyProtection="0"/>
    <xf numFmtId="0" fontId="23" fillId="20" borderId="10" applyNumberFormat="0" applyAlignment="0" applyProtection="0"/>
    <xf numFmtId="184" fontId="6" fillId="0" borderId="0" applyFont="0" applyFill="0" applyBorder="0" applyAlignment="0" applyProtection="0"/>
    <xf numFmtId="185" fontId="20" fillId="0" borderId="0" applyBorder="0" applyProtection="0"/>
    <xf numFmtId="0" fontId="24" fillId="0" borderId="0" applyNumberFormat="0" applyBorder="0" applyProtection="0">
      <alignment horizontal="center"/>
    </xf>
    <xf numFmtId="0" fontId="24" fillId="0" borderId="0" applyNumberFormat="0" applyBorder="0" applyProtection="0">
      <alignment horizontal="center" textRotation="90"/>
    </xf>
    <xf numFmtId="0" fontId="25" fillId="0" borderId="0" applyNumberFormat="0" applyFill="0" applyBorder="0" applyAlignment="0" applyProtection="0">
      <alignment vertical="top"/>
      <protection locked="0"/>
    </xf>
    <xf numFmtId="0" fontId="26" fillId="0" borderId="0" applyNumberFormat="0" applyFill="0" applyBorder="0" applyAlignment="0" applyProtection="0"/>
    <xf numFmtId="0" fontId="26" fillId="0" borderId="0" applyNumberFormat="0" applyFill="0" applyBorder="0" applyAlignment="0" applyProtection="0"/>
    <xf numFmtId="39" fontId="27" fillId="0" borderId="14"/>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73" fontId="6" fillId="0" borderId="15">
      <alignment horizontal="right"/>
    </xf>
    <xf numFmtId="173" fontId="6" fillId="0" borderId="15">
      <alignment horizontal="right"/>
    </xf>
    <xf numFmtId="173" fontId="6" fillId="0" borderId="15">
      <alignment horizontal="right"/>
    </xf>
    <xf numFmtId="173" fontId="6" fillId="0" borderId="15">
      <alignment horizontal="right"/>
    </xf>
    <xf numFmtId="164" fontId="6" fillId="0" borderId="0" applyFont="0" applyFill="0" applyBorder="0" applyAlignment="0" applyProtection="0"/>
    <xf numFmtId="166" fontId="6" fillId="0" borderId="0" applyFont="0" applyFill="0" applyBorder="0" applyAlignment="0" applyProtection="0"/>
    <xf numFmtId="166" fontId="28" fillId="0" borderId="0" applyFont="0" applyFill="0" applyBorder="0" applyAlignment="0" applyProtection="0"/>
    <xf numFmtId="0" fontId="6" fillId="0" borderId="0" applyFill="0" applyBorder="0" applyAlignment="0" applyProtection="0"/>
    <xf numFmtId="186" fontId="29" fillId="0" borderId="16">
      <alignment horizontal="right"/>
    </xf>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0" fillId="0" borderId="0">
      <alignment vertical="top"/>
    </xf>
    <xf numFmtId="0" fontId="30" fillId="0" borderId="0">
      <alignment vertical="top"/>
    </xf>
    <xf numFmtId="0" fontId="6" fillId="0" borderId="0"/>
    <xf numFmtId="0" fontId="1" fillId="0" borderId="0"/>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6" fillId="0" borderId="0"/>
    <xf numFmtId="0" fontId="1" fillId="0" borderId="0"/>
    <xf numFmtId="0" fontId="6" fillId="0" borderId="0"/>
    <xf numFmtId="0" fontId="6" fillId="0" borderId="0"/>
    <xf numFmtId="0" fontId="6" fillId="0" borderId="0"/>
    <xf numFmtId="0" fontId="6" fillId="0" borderId="0"/>
    <xf numFmtId="0" fontId="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6"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 fillId="0" borderId="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5"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31" fillId="0" borderId="0" applyNumberFormat="0" applyBorder="0" applyProtection="0"/>
    <xf numFmtId="0" fontId="31" fillId="0" borderId="0" applyNumberFormat="0" applyBorder="0" applyProtection="0"/>
    <xf numFmtId="187" fontId="29" fillId="0" borderId="15"/>
    <xf numFmtId="0" fontId="32" fillId="0" borderId="0"/>
    <xf numFmtId="0" fontId="30" fillId="0" borderId="0">
      <alignment vertical="top"/>
    </xf>
    <xf numFmtId="43" fontId="1"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8" fontId="6" fillId="0" borderId="0" applyFont="0" applyFill="0" applyBorder="0" applyAlignment="0" applyProtection="0"/>
    <xf numFmtId="189" fontId="6" fillId="0" borderId="0" applyFont="0" applyFill="0" applyBorder="0" applyAlignment="0" applyProtection="0"/>
    <xf numFmtId="9" fontId="1"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8"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44" fontId="1" fillId="0" borderId="0" applyFont="0" applyFill="0" applyBorder="0" applyAlignment="0" applyProtection="0"/>
    <xf numFmtId="0" fontId="5" fillId="0" borderId="0"/>
    <xf numFmtId="0" fontId="8" fillId="0" borderId="0"/>
    <xf numFmtId="0" fontId="8" fillId="0" borderId="0"/>
    <xf numFmtId="0" fontId="1" fillId="0" borderId="0"/>
    <xf numFmtId="0" fontId="26" fillId="0" borderId="0" applyNumberFormat="0" applyFill="0" applyBorder="0" applyAlignment="0" applyProtection="0"/>
    <xf numFmtId="0" fontId="38"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26" fillId="0" borderId="0" applyNumberFormat="0" applyFill="0" applyBorder="0" applyAlignment="0" applyProtection="0"/>
    <xf numFmtId="0" fontId="38" fillId="0" borderId="0" applyNumberFormat="0" applyFill="0" applyBorder="0" applyAlignment="0" applyProtection="0"/>
    <xf numFmtId="0" fontId="27" fillId="0" borderId="0"/>
    <xf numFmtId="0" fontId="47" fillId="0" borderId="0"/>
    <xf numFmtId="166" fontId="47" fillId="0" borderId="0" applyFont="0" applyFill="0" applyBorder="0" applyAlignment="0" applyProtection="0"/>
  </cellStyleXfs>
  <cellXfs count="852">
    <xf numFmtId="0" fontId="0" fillId="0" borderId="0" xfId="0"/>
    <xf numFmtId="0" fontId="2" fillId="2" borderId="0" xfId="0" applyFont="1" applyFill="1"/>
    <xf numFmtId="168" fontId="3" fillId="2" borderId="0" xfId="1" applyNumberFormat="1" applyFont="1" applyFill="1"/>
    <xf numFmtId="0" fontId="3" fillId="2" borderId="0" xfId="0" applyFont="1" applyFill="1"/>
    <xf numFmtId="0" fontId="3" fillId="0" borderId="0" xfId="0" applyFont="1"/>
    <xf numFmtId="0" fontId="0" fillId="0" borderId="0" xfId="0" applyAlignment="1">
      <alignment horizontal="left" vertical="center" wrapText="1"/>
    </xf>
    <xf numFmtId="0" fontId="3" fillId="2" borderId="0" xfId="0" applyFont="1" applyFill="1" applyAlignment="1">
      <alignment wrapText="1"/>
    </xf>
    <xf numFmtId="0" fontId="3" fillId="0" borderId="0" xfId="0" applyFont="1" applyAlignment="1">
      <alignment wrapText="1"/>
    </xf>
    <xf numFmtId="0" fontId="3" fillId="2" borderId="0" xfId="0" applyFont="1" applyFill="1" applyAlignment="1">
      <alignment horizontal="left" wrapText="1"/>
    </xf>
    <xf numFmtId="0" fontId="3" fillId="0" borderId="0" xfId="958" applyNumberFormat="1" applyFont="1" applyFill="1" applyBorder="1" applyAlignment="1">
      <alignment horizontal="center" wrapText="1"/>
    </xf>
    <xf numFmtId="0" fontId="3" fillId="0" borderId="0" xfId="0" applyFont="1" applyAlignment="1">
      <alignment horizontal="center" wrapText="1"/>
    </xf>
    <xf numFmtId="0" fontId="2" fillId="0" borderId="7" xfId="0" applyFont="1" applyBorder="1" applyAlignment="1">
      <alignment horizontal="center" vertical="center" wrapText="1"/>
    </xf>
    <xf numFmtId="0" fontId="3" fillId="15" borderId="8" xfId="0" applyFont="1" applyFill="1" applyBorder="1" applyAlignment="1">
      <alignment horizontal="center" wrapText="1"/>
    </xf>
    <xf numFmtId="0" fontId="2" fillId="26" borderId="6" xfId="0" applyFont="1" applyFill="1" applyBorder="1" applyAlignment="1">
      <alignment horizontal="center" vertical="center" wrapText="1"/>
    </xf>
    <xf numFmtId="0" fontId="2" fillId="26" borderId="17" xfId="0" applyFont="1" applyFill="1" applyBorder="1" applyAlignment="1">
      <alignment horizontal="center" vertical="center" wrapText="1"/>
    </xf>
    <xf numFmtId="0" fontId="2" fillId="26" borderId="9" xfId="0" applyFont="1" applyFill="1" applyBorder="1" applyAlignment="1">
      <alignment horizontal="center" vertical="center" wrapText="1"/>
    </xf>
    <xf numFmtId="0" fontId="3" fillId="0" borderId="0" xfId="1" applyNumberFormat="1" applyFont="1" applyFill="1" applyBorder="1"/>
    <xf numFmtId="0" fontId="2" fillId="0" borderId="0" xfId="0" applyFont="1"/>
    <xf numFmtId="0" fontId="2" fillId="0" borderId="0" xfId="0" applyFont="1" applyAlignment="1">
      <alignment wrapText="1"/>
    </xf>
    <xf numFmtId="0" fontId="2" fillId="2" borderId="0" xfId="0" applyFont="1" applyFill="1" applyAlignment="1">
      <alignment horizontal="center"/>
    </xf>
    <xf numFmtId="0" fontId="2" fillId="0" borderId="0" xfId="1" applyNumberFormat="1" applyFont="1" applyFill="1" applyBorder="1" applyAlignment="1">
      <alignment wrapText="1"/>
    </xf>
    <xf numFmtId="168" fontId="3" fillId="0" borderId="0" xfId="1" applyNumberFormat="1" applyFont="1" applyFill="1" applyBorder="1"/>
    <xf numFmtId="168" fontId="2" fillId="0" borderId="0" xfId="1" applyNumberFormat="1" applyFont="1" applyFill="1" applyBorder="1"/>
    <xf numFmtId="43" fontId="3" fillId="2" borderId="0" xfId="1" applyFont="1" applyFill="1" applyAlignment="1">
      <alignment wrapText="1"/>
    </xf>
    <xf numFmtId="43" fontId="3" fillId="0" borderId="0" xfId="1" applyFont="1" applyFill="1" applyAlignment="1">
      <alignment wrapText="1"/>
    </xf>
    <xf numFmtId="168" fontId="3" fillId="0" borderId="0" xfId="0" applyNumberFormat="1" applyFont="1" applyAlignment="1">
      <alignment wrapText="1"/>
    </xf>
    <xf numFmtId="168" fontId="3" fillId="0" borderId="0" xfId="1" applyNumberFormat="1" applyFont="1" applyFill="1" applyAlignment="1">
      <alignment wrapText="1"/>
    </xf>
    <xf numFmtId="168" fontId="3" fillId="2" borderId="0" xfId="1" applyNumberFormat="1" applyFont="1" applyFill="1" applyAlignment="1">
      <alignment wrapText="1"/>
    </xf>
    <xf numFmtId="168" fontId="3" fillId="0" borderId="0" xfId="1" applyNumberFormat="1" applyFont="1" applyFill="1" applyBorder="1" applyAlignment="1">
      <alignment horizontal="center" wrapText="1"/>
    </xf>
    <xf numFmtId="168" fontId="1" fillId="16" borderId="0" xfId="1" applyNumberFormat="1" applyFont="1" applyFill="1" applyBorder="1" applyAlignment="1">
      <alignment horizontal="center" wrapText="1"/>
    </xf>
    <xf numFmtId="43" fontId="3" fillId="0" borderId="0" xfId="1" applyFont="1" applyFill="1" applyBorder="1" applyAlignment="1">
      <alignment horizontal="center" wrapText="1"/>
    </xf>
    <xf numFmtId="43" fontId="3" fillId="16" borderId="0" xfId="1" applyFont="1" applyFill="1" applyBorder="1" applyAlignment="1">
      <alignment horizontal="center" wrapText="1"/>
    </xf>
    <xf numFmtId="168" fontId="3" fillId="15" borderId="1" xfId="1" applyNumberFormat="1" applyFont="1" applyFill="1" applyBorder="1" applyAlignment="1">
      <alignment horizontal="center" wrapText="1"/>
    </xf>
    <xf numFmtId="43" fontId="3" fillId="15" borderId="1" xfId="1" applyFont="1" applyFill="1" applyBorder="1" applyAlignment="1">
      <alignment horizontal="center" wrapText="1"/>
    </xf>
    <xf numFmtId="168" fontId="2" fillId="26" borderId="7" xfId="1" applyNumberFormat="1" applyFont="1" applyFill="1" applyBorder="1" applyAlignment="1">
      <alignment horizontal="center" vertical="center" wrapText="1"/>
    </xf>
    <xf numFmtId="168" fontId="2" fillId="26" borderId="9" xfId="1" applyNumberFormat="1" applyFont="1" applyFill="1" applyBorder="1" applyAlignment="1">
      <alignment horizontal="center" vertical="center" wrapText="1"/>
    </xf>
    <xf numFmtId="168" fontId="2" fillId="26" borderId="17" xfId="1" applyNumberFormat="1" applyFont="1" applyFill="1" applyBorder="1" applyAlignment="1">
      <alignment horizontal="center" vertical="center" wrapText="1"/>
    </xf>
    <xf numFmtId="43" fontId="2" fillId="26" borderId="9" xfId="1" applyFont="1" applyFill="1" applyBorder="1" applyAlignment="1">
      <alignment horizontal="center" vertical="center" wrapText="1"/>
    </xf>
    <xf numFmtId="43" fontId="2" fillId="26" borderId="7" xfId="1" applyFont="1" applyFill="1" applyBorder="1" applyAlignment="1">
      <alignment horizontal="center" vertical="center" wrapText="1"/>
    </xf>
    <xf numFmtId="43" fontId="2" fillId="26" borderId="8" xfId="1" applyFont="1" applyFill="1" applyBorder="1" applyAlignment="1">
      <alignment horizontal="center" vertical="center" wrapText="1"/>
    </xf>
    <xf numFmtId="168" fontId="2" fillId="0" borderId="0" xfId="1" applyNumberFormat="1" applyFont="1" applyFill="1" applyBorder="1" applyAlignment="1">
      <alignment wrapText="1"/>
    </xf>
    <xf numFmtId="0" fontId="2" fillId="0" borderId="0" xfId="0" applyFont="1" applyAlignment="1">
      <alignment horizontal="center" wrapText="1"/>
    </xf>
    <xf numFmtId="168" fontId="3" fillId="0" borderId="0" xfId="0" applyNumberFormat="1" applyFont="1"/>
    <xf numFmtId="0" fontId="2" fillId="26" borderId="7" xfId="0" applyFont="1" applyFill="1" applyBorder="1" applyAlignment="1">
      <alignment horizontal="center" vertical="center" wrapText="1"/>
    </xf>
    <xf numFmtId="168" fontId="2" fillId="0" borderId="0" xfId="1" applyNumberFormat="1" applyFont="1" applyFill="1" applyBorder="1" applyAlignment="1">
      <alignment horizontal="right" vertical="top" wrapText="1"/>
    </xf>
    <xf numFmtId="9" fontId="3" fillId="2" borderId="0" xfId="958" applyFont="1" applyFill="1"/>
    <xf numFmtId="0" fontId="3" fillId="16" borderId="0" xfId="0" applyFont="1" applyFill="1"/>
    <xf numFmtId="43" fontId="3" fillId="2" borderId="0" xfId="0" applyNumberFormat="1" applyFont="1" applyFill="1"/>
    <xf numFmtId="43" fontId="3" fillId="0" borderId="0" xfId="0" applyNumberFormat="1" applyFont="1"/>
    <xf numFmtId="0" fontId="37" fillId="0" borderId="22" xfId="0" applyFont="1" applyBorder="1" applyAlignment="1">
      <alignment wrapText="1"/>
    </xf>
    <xf numFmtId="0" fontId="37" fillId="0" borderId="22" xfId="0" applyFont="1" applyBorder="1" applyAlignment="1">
      <alignment vertical="center" wrapText="1"/>
    </xf>
    <xf numFmtId="43" fontId="3" fillId="2" borderId="0" xfId="1" applyFont="1" applyFill="1" applyBorder="1" applyAlignment="1">
      <alignment wrapText="1"/>
    </xf>
    <xf numFmtId="9" fontId="3" fillId="0" borderId="0" xfId="0" applyNumberFormat="1" applyFont="1" applyAlignment="1">
      <alignment wrapText="1"/>
    </xf>
    <xf numFmtId="0" fontId="40" fillId="0" borderId="0" xfId="0" applyFont="1"/>
    <xf numFmtId="9" fontId="0" fillId="0" borderId="0" xfId="958" applyFont="1"/>
    <xf numFmtId="190" fontId="0" fillId="0" borderId="0" xfId="958" applyNumberFormat="1" applyFont="1"/>
    <xf numFmtId="171" fontId="0" fillId="0" borderId="0" xfId="1" applyNumberFormat="1" applyFont="1"/>
    <xf numFmtId="171" fontId="0" fillId="0" borderId="0" xfId="0" applyNumberFormat="1"/>
    <xf numFmtId="191" fontId="0" fillId="0" borderId="0" xfId="0" applyNumberFormat="1"/>
    <xf numFmtId="190" fontId="0" fillId="0" borderId="0" xfId="0" applyNumberFormat="1"/>
    <xf numFmtId="1" fontId="0" fillId="0" borderId="0" xfId="0" applyNumberFormat="1"/>
    <xf numFmtId="0" fontId="40" fillId="0" borderId="0" xfId="0" applyFont="1" applyAlignment="1">
      <alignment wrapText="1"/>
    </xf>
    <xf numFmtId="191" fontId="40" fillId="0" borderId="0" xfId="0" applyNumberFormat="1" applyFont="1"/>
    <xf numFmtId="9" fontId="0" fillId="0" borderId="0" xfId="0" applyNumberFormat="1"/>
    <xf numFmtId="168" fontId="0" fillId="0" borderId="0" xfId="1" applyNumberFormat="1" applyFont="1"/>
    <xf numFmtId="168" fontId="0" fillId="0" borderId="0" xfId="0" applyNumberFormat="1"/>
    <xf numFmtId="168" fontId="40" fillId="0" borderId="0" xfId="0" applyNumberFormat="1" applyFont="1"/>
    <xf numFmtId="43" fontId="0" fillId="0" borderId="0" xfId="0" applyNumberFormat="1"/>
    <xf numFmtId="0" fontId="40" fillId="0" borderId="0" xfId="0" applyFont="1" applyAlignment="1">
      <alignment horizontal="center"/>
    </xf>
    <xf numFmtId="0" fontId="40" fillId="0" borderId="0" xfId="0" applyFont="1" applyAlignment="1">
      <alignment vertical="center" wrapText="1"/>
    </xf>
    <xf numFmtId="0" fontId="22" fillId="15" borderId="21" xfId="24" applyFont="1" applyFill="1" applyBorder="1" applyAlignment="1">
      <alignment horizontal="left" vertical="top"/>
    </xf>
    <xf numFmtId="0" fontId="22" fillId="15" borderId="25" xfId="24" applyFont="1" applyFill="1" applyBorder="1" applyAlignment="1">
      <alignment horizontal="center" vertical="top" wrapText="1"/>
    </xf>
    <xf numFmtId="0" fontId="22" fillId="15" borderId="25" xfId="24" applyFont="1" applyFill="1" applyBorder="1" applyAlignment="1">
      <alignment horizontal="center" vertical="center"/>
    </xf>
    <xf numFmtId="0" fontId="6" fillId="15" borderId="25" xfId="24" applyFill="1" applyBorder="1" applyAlignment="1">
      <alignment horizontal="center" vertical="center"/>
    </xf>
    <xf numFmtId="0" fontId="22" fillId="15" borderId="26" xfId="24" applyFont="1" applyFill="1" applyBorder="1" applyAlignment="1">
      <alignment horizontal="center" vertical="center"/>
    </xf>
    <xf numFmtId="0" fontId="6" fillId="29" borderId="25" xfId="24" applyFill="1" applyBorder="1" applyAlignment="1">
      <alignment horizontal="center" vertical="center"/>
    </xf>
    <xf numFmtId="0" fontId="41" fillId="15" borderId="3" xfId="0" applyFont="1" applyFill="1" applyBorder="1" applyAlignment="1">
      <alignment vertical="top" wrapText="1"/>
    </xf>
    <xf numFmtId="0" fontId="41" fillId="15" borderId="2" xfId="0" applyFont="1" applyFill="1" applyBorder="1" applyAlignment="1">
      <alignment vertical="top" wrapText="1"/>
    </xf>
    <xf numFmtId="0" fontId="22" fillId="15" borderId="2" xfId="24" applyFont="1" applyFill="1" applyBorder="1" applyAlignment="1">
      <alignment horizontal="center" vertical="center"/>
    </xf>
    <xf numFmtId="0" fontId="6" fillId="15" borderId="2" xfId="24" applyFill="1" applyBorder="1" applyAlignment="1">
      <alignment horizontal="center" vertical="center"/>
    </xf>
    <xf numFmtId="0" fontId="22" fillId="15" borderId="5" xfId="24" applyFont="1" applyFill="1" applyBorder="1" applyAlignment="1">
      <alignment horizontal="center" vertical="center"/>
    </xf>
    <xf numFmtId="0" fontId="6" fillId="0" borderId="0" xfId="24" applyProtection="1">
      <protection locked="0"/>
    </xf>
    <xf numFmtId="0" fontId="42" fillId="15" borderId="27" xfId="24" applyFont="1" applyFill="1" applyBorder="1" applyAlignment="1">
      <alignment horizontal="center" vertical="center" wrapText="1"/>
    </xf>
    <xf numFmtId="0" fontId="42" fillId="15" borderId="14" xfId="24" applyFont="1" applyFill="1" applyBorder="1" applyAlignment="1">
      <alignment horizontal="center" vertical="center" wrapText="1"/>
    </xf>
    <xf numFmtId="0" fontId="42" fillId="15" borderId="18" xfId="24" applyFont="1" applyFill="1" applyBorder="1" applyAlignment="1">
      <alignment horizontal="center" vertical="top"/>
    </xf>
    <xf numFmtId="0" fontId="42" fillId="15" borderId="18" xfId="24" applyFont="1" applyFill="1" applyBorder="1" applyAlignment="1">
      <alignment horizontal="center" vertical="top" wrapText="1"/>
    </xf>
    <xf numFmtId="0" fontId="42" fillId="15" borderId="28" xfId="24" applyFont="1" applyFill="1" applyBorder="1" applyAlignment="1">
      <alignment horizontal="center" vertical="top" wrapText="1"/>
    </xf>
    <xf numFmtId="0" fontId="42" fillId="29" borderId="0" xfId="24" applyFont="1" applyFill="1" applyAlignment="1">
      <alignment horizontal="center" vertical="top" wrapText="1"/>
    </xf>
    <xf numFmtId="0" fontId="43" fillId="0" borderId="0" xfId="24" applyFont="1" applyProtection="1">
      <protection locked="0"/>
    </xf>
    <xf numFmtId="0" fontId="43" fillId="0" borderId="29" xfId="24" applyFont="1" applyBorder="1" applyAlignment="1" applyProtection="1">
      <alignment wrapText="1"/>
      <protection locked="0"/>
    </xf>
    <xf numFmtId="0" fontId="43" fillId="0" borderId="29" xfId="24" applyFont="1" applyBorder="1" applyAlignment="1" applyProtection="1">
      <alignment horizontal="center"/>
      <protection locked="0"/>
    </xf>
    <xf numFmtId="4" fontId="43" fillId="0" borderId="30" xfId="24" applyNumberFormat="1" applyFont="1" applyBorder="1" applyProtection="1">
      <protection locked="0"/>
    </xf>
    <xf numFmtId="4" fontId="43" fillId="0" borderId="29" xfId="24" applyNumberFormat="1" applyFont="1" applyBorder="1" applyProtection="1">
      <protection locked="0"/>
    </xf>
    <xf numFmtId="4" fontId="42" fillId="0" borderId="23" xfId="24" applyNumberFormat="1" applyFont="1" applyBorder="1"/>
    <xf numFmtId="0" fontId="44" fillId="0" borderId="18" xfId="0" applyFont="1" applyBorder="1" applyAlignment="1">
      <alignment horizontal="justify" vertical="center"/>
    </xf>
    <xf numFmtId="0" fontId="44" fillId="0" borderId="15" xfId="0" applyFont="1" applyBorder="1" applyAlignment="1">
      <alignment wrapText="1"/>
    </xf>
    <xf numFmtId="0" fontId="44" fillId="0" borderId="30" xfId="0" applyFont="1" applyBorder="1" applyAlignment="1">
      <alignment wrapText="1"/>
    </xf>
    <xf numFmtId="4" fontId="43" fillId="29" borderId="31" xfId="24" applyNumberFormat="1" applyFont="1" applyFill="1" applyBorder="1"/>
    <xf numFmtId="0" fontId="43" fillId="15" borderId="15" xfId="24" applyFont="1" applyFill="1" applyBorder="1" applyAlignment="1">
      <alignment horizontal="center" wrapText="1"/>
    </xf>
    <xf numFmtId="0" fontId="43" fillId="15" borderId="15" xfId="24" applyFont="1" applyFill="1" applyBorder="1" applyAlignment="1">
      <alignment wrapText="1"/>
    </xf>
    <xf numFmtId="0" fontId="43" fillId="0" borderId="29" xfId="24" applyFont="1" applyBorder="1" applyAlignment="1" applyProtection="1">
      <alignment vertical="center" wrapText="1"/>
      <protection locked="0"/>
    </xf>
    <xf numFmtId="0" fontId="43" fillId="0" borderId="30" xfId="24" applyFont="1" applyBorder="1" applyAlignment="1" applyProtection="1">
      <alignment horizontal="center"/>
      <protection locked="0"/>
    </xf>
    <xf numFmtId="4" fontId="43" fillId="29" borderId="32" xfId="24" applyNumberFormat="1" applyFont="1" applyFill="1" applyBorder="1"/>
    <xf numFmtId="4" fontId="43" fillId="29" borderId="33" xfId="24" applyNumberFormat="1" applyFont="1" applyFill="1" applyBorder="1"/>
    <xf numFmtId="0" fontId="43" fillId="15" borderId="14" xfId="24" applyFont="1" applyFill="1" applyBorder="1" applyAlignment="1">
      <alignment horizontal="center" wrapText="1"/>
    </xf>
    <xf numFmtId="0" fontId="43" fillId="15" borderId="18" xfId="24" applyFont="1" applyFill="1" applyBorder="1" applyAlignment="1">
      <alignment horizontal="center" wrapText="1"/>
    </xf>
    <xf numFmtId="0" fontId="42" fillId="15" borderId="14" xfId="24" applyFont="1" applyFill="1" applyBorder="1"/>
    <xf numFmtId="0" fontId="42" fillId="15" borderId="29" xfId="24" applyFont="1" applyFill="1" applyBorder="1"/>
    <xf numFmtId="0" fontId="42" fillId="15" borderId="30" xfId="24" applyFont="1" applyFill="1" applyBorder="1" applyAlignment="1">
      <alignment horizontal="center"/>
    </xf>
    <xf numFmtId="0" fontId="45" fillId="15" borderId="30" xfId="24" applyFont="1" applyFill="1" applyBorder="1"/>
    <xf numFmtId="4" fontId="45" fillId="15" borderId="30" xfId="24" applyNumberFormat="1" applyFont="1" applyFill="1" applyBorder="1"/>
    <xf numFmtId="166" fontId="42" fillId="15" borderId="23" xfId="88" applyFont="1" applyFill="1" applyBorder="1" applyProtection="1"/>
    <xf numFmtId="166" fontId="42" fillId="29" borderId="33" xfId="88" applyFont="1" applyFill="1" applyBorder="1" applyProtection="1"/>
    <xf numFmtId="0" fontId="42" fillId="15" borderId="34" xfId="24" applyFont="1" applyFill="1" applyBorder="1"/>
    <xf numFmtId="0" fontId="44" fillId="0" borderId="30" xfId="0" applyFont="1" applyBorder="1" applyAlignment="1">
      <alignment horizontal="justify" vertical="center" wrapText="1"/>
    </xf>
    <xf numFmtId="0" fontId="44" fillId="0" borderId="30" xfId="0" applyFont="1" applyBorder="1" applyAlignment="1">
      <alignment horizontal="justify" vertical="center"/>
    </xf>
    <xf numFmtId="0" fontId="42" fillId="15" borderId="35" xfId="24" applyFont="1" applyFill="1" applyBorder="1"/>
    <xf numFmtId="0" fontId="44" fillId="15" borderId="15" xfId="0" applyFont="1" applyFill="1" applyBorder="1" applyAlignment="1">
      <alignment wrapText="1"/>
    </xf>
    <xf numFmtId="166" fontId="42" fillId="29" borderId="36" xfId="88" applyFont="1" applyFill="1" applyBorder="1" applyProtection="1"/>
    <xf numFmtId="0" fontId="44" fillId="0" borderId="18" xfId="0" applyFont="1" applyBorder="1" applyAlignment="1">
      <alignment wrapText="1"/>
    </xf>
    <xf numFmtId="166" fontId="42" fillId="29" borderId="37" xfId="24" applyNumberFormat="1" applyFont="1" applyFill="1" applyBorder="1"/>
    <xf numFmtId="0" fontId="42" fillId="0" borderId="0" xfId="24" applyFont="1" applyProtection="1">
      <protection locked="0"/>
    </xf>
    <xf numFmtId="0" fontId="43" fillId="0" borderId="0" xfId="0" applyFont="1" applyProtection="1">
      <protection locked="0"/>
    </xf>
    <xf numFmtId="166" fontId="42" fillId="0" borderId="0" xfId="0" applyNumberFormat="1" applyFont="1" applyProtection="1">
      <protection locked="0"/>
    </xf>
    <xf numFmtId="0" fontId="42" fillId="0" borderId="0" xfId="0" applyFont="1" applyProtection="1">
      <protection locked="0"/>
    </xf>
    <xf numFmtId="0" fontId="2" fillId="3" borderId="30" xfId="0" applyFont="1" applyFill="1" applyBorder="1" applyAlignment="1">
      <alignment wrapText="1"/>
    </xf>
    <xf numFmtId="0" fontId="2" fillId="17" borderId="30" xfId="0" applyFont="1" applyFill="1" applyBorder="1" applyAlignment="1">
      <alignment wrapText="1"/>
    </xf>
    <xf numFmtId="0" fontId="2" fillId="3" borderId="30" xfId="1" applyNumberFormat="1" applyFont="1" applyFill="1" applyBorder="1" applyAlignment="1">
      <alignment wrapText="1"/>
    </xf>
    <xf numFmtId="0" fontId="2" fillId="26" borderId="30" xfId="0" applyFont="1" applyFill="1" applyBorder="1" applyAlignment="1">
      <alignment horizontal="center" vertical="center" wrapText="1"/>
    </xf>
    <xf numFmtId="168" fontId="2" fillId="26" borderId="30" xfId="1" applyNumberFormat="1" applyFont="1" applyFill="1" applyBorder="1" applyAlignment="1">
      <alignment horizontal="center" vertical="center" wrapText="1"/>
    </xf>
    <xf numFmtId="0" fontId="2" fillId="0" borderId="30" xfId="0" applyFont="1" applyBorder="1" applyAlignment="1">
      <alignment horizontal="center" vertical="center" wrapText="1"/>
    </xf>
    <xf numFmtId="0" fontId="3" fillId="0" borderId="23" xfId="0" applyFont="1" applyBorder="1" applyAlignment="1">
      <alignment horizontal="left" vertical="top" wrapText="1"/>
    </xf>
    <xf numFmtId="0" fontId="2" fillId="3" borderId="35" xfId="0" applyFont="1" applyFill="1" applyBorder="1" applyAlignment="1">
      <alignment wrapText="1"/>
    </xf>
    <xf numFmtId="168" fontId="2" fillId="3" borderId="30" xfId="1" applyNumberFormat="1" applyFont="1" applyFill="1" applyBorder="1" applyAlignment="1">
      <alignment wrapText="1"/>
    </xf>
    <xf numFmtId="0" fontId="2" fillId="3" borderId="23" xfId="0" applyFont="1" applyFill="1" applyBorder="1" applyAlignment="1">
      <alignment wrapText="1"/>
    </xf>
    <xf numFmtId="168" fontId="2" fillId="17" borderId="30" xfId="1" applyNumberFormat="1" applyFont="1" applyFill="1" applyBorder="1" applyAlignment="1">
      <alignment wrapText="1"/>
    </xf>
    <xf numFmtId="0" fontId="2" fillId="17" borderId="23" xfId="0" applyFont="1" applyFill="1" applyBorder="1" applyAlignment="1">
      <alignment wrapText="1"/>
    </xf>
    <xf numFmtId="0" fontId="3" fillId="2" borderId="30" xfId="1" applyNumberFormat="1" applyFont="1" applyFill="1" applyBorder="1" applyAlignment="1">
      <alignment wrapText="1"/>
    </xf>
    <xf numFmtId="168" fontId="3" fillId="2" borderId="30" xfId="1" applyNumberFormat="1" applyFont="1" applyFill="1" applyBorder="1" applyAlignment="1">
      <alignment wrapText="1"/>
    </xf>
    <xf numFmtId="168" fontId="3" fillId="26" borderId="30" xfId="1" applyNumberFormat="1" applyFont="1" applyFill="1" applyBorder="1" applyAlignment="1">
      <alignment wrapText="1"/>
    </xf>
    <xf numFmtId="43" fontId="3" fillId="26" borderId="30" xfId="1" applyFont="1" applyFill="1" applyBorder="1" applyAlignment="1">
      <alignment wrapText="1"/>
    </xf>
    <xf numFmtId="0" fontId="3" fillId="2" borderId="30" xfId="0" applyFont="1" applyFill="1" applyBorder="1" applyAlignment="1">
      <alignment wrapText="1"/>
    </xf>
    <xf numFmtId="168" fontId="3" fillId="0" borderId="23" xfId="0" applyNumberFormat="1" applyFont="1" applyBorder="1" applyAlignment="1">
      <alignment wrapText="1"/>
    </xf>
    <xf numFmtId="0" fontId="3" fillId="2" borderId="35" xfId="0" applyFont="1" applyFill="1" applyBorder="1" applyAlignment="1">
      <alignment wrapText="1"/>
    </xf>
    <xf numFmtId="168" fontId="4" fillId="26" borderId="30" xfId="1" applyNumberFormat="1" applyFont="1" applyFill="1" applyBorder="1" applyAlignment="1">
      <alignment wrapText="1"/>
    </xf>
    <xf numFmtId="0" fontId="4" fillId="2" borderId="30" xfId="0" applyFont="1" applyFill="1" applyBorder="1" applyAlignment="1">
      <alignment wrapText="1"/>
    </xf>
    <xf numFmtId="168" fontId="4" fillId="2" borderId="30" xfId="1" applyNumberFormat="1" applyFont="1" applyFill="1" applyBorder="1" applyAlignment="1">
      <alignment wrapText="1"/>
    </xf>
    <xf numFmtId="0" fontId="3" fillId="0" borderId="35" xfId="0" applyFont="1" applyBorder="1" applyAlignment="1">
      <alignment wrapText="1"/>
    </xf>
    <xf numFmtId="43" fontId="3" fillId="2" borderId="30" xfId="1" applyFont="1" applyFill="1" applyBorder="1" applyAlignment="1">
      <alignment wrapText="1"/>
    </xf>
    <xf numFmtId="0" fontId="3" fillId="0" borderId="23" xfId="15" applyNumberFormat="1" applyFont="1" applyFill="1" applyBorder="1" applyAlignment="1">
      <alignment horizontal="left" vertical="top" wrapText="1"/>
    </xf>
    <xf numFmtId="0" fontId="2" fillId="17" borderId="35" xfId="0" applyFont="1" applyFill="1" applyBorder="1" applyAlignment="1">
      <alignment wrapText="1"/>
    </xf>
    <xf numFmtId="0" fontId="3" fillId="0" borderId="35" xfId="14" applyNumberFormat="1" applyFont="1" applyFill="1" applyBorder="1" applyAlignment="1">
      <alignment vertical="center" wrapText="1"/>
    </xf>
    <xf numFmtId="0" fontId="4" fillId="2" borderId="30" xfId="1" applyNumberFormat="1" applyFont="1" applyFill="1" applyBorder="1" applyAlignment="1">
      <alignment wrapText="1"/>
    </xf>
    <xf numFmtId="0" fontId="2" fillId="3" borderId="23" xfId="1" applyNumberFormat="1" applyFont="1" applyFill="1" applyBorder="1" applyAlignment="1">
      <alignment wrapText="1"/>
    </xf>
    <xf numFmtId="0" fontId="2" fillId="0" borderId="35" xfId="0" applyFont="1" applyBorder="1" applyAlignment="1">
      <alignment wrapText="1"/>
    </xf>
    <xf numFmtId="0" fontId="2" fillId="0" borderId="30" xfId="0" applyFont="1" applyBorder="1" applyAlignment="1">
      <alignment wrapText="1"/>
    </xf>
    <xf numFmtId="168" fontId="2" fillId="0" borderId="30" xfId="1" applyNumberFormat="1" applyFont="1" applyFill="1" applyBorder="1" applyAlignment="1">
      <alignment wrapText="1"/>
    </xf>
    <xf numFmtId="168" fontId="2" fillId="26" borderId="30" xfId="1" applyNumberFormat="1" applyFont="1" applyFill="1" applyBorder="1" applyAlignment="1">
      <alignment wrapText="1"/>
    </xf>
    <xf numFmtId="0" fontId="2" fillId="0" borderId="30" xfId="1" applyNumberFormat="1" applyFont="1" applyFill="1" applyBorder="1" applyAlignment="1">
      <alignment wrapText="1"/>
    </xf>
    <xf numFmtId="0" fontId="2" fillId="0" borderId="23" xfId="15" applyNumberFormat="1" applyFont="1" applyFill="1" applyBorder="1" applyAlignment="1">
      <alignment horizontal="left" vertical="top" wrapText="1"/>
    </xf>
    <xf numFmtId="168" fontId="2" fillId="17" borderId="35" xfId="0" applyNumberFormat="1" applyFont="1" applyFill="1" applyBorder="1" applyAlignment="1">
      <alignment horizontal="right" wrapText="1"/>
    </xf>
    <xf numFmtId="0" fontId="2" fillId="27" borderId="23" xfId="1" applyNumberFormat="1" applyFont="1" applyFill="1" applyBorder="1" applyAlignment="1">
      <alignment wrapText="1"/>
    </xf>
    <xf numFmtId="0" fontId="3" fillId="0" borderId="35" xfId="14" applyNumberFormat="1" applyFont="1" applyFill="1" applyBorder="1" applyAlignment="1">
      <alignment horizontal="left" vertical="center" wrapText="1"/>
    </xf>
    <xf numFmtId="0" fontId="2" fillId="3" borderId="23" xfId="0" applyFont="1" applyFill="1" applyBorder="1" applyAlignment="1">
      <alignment horizontal="center" wrapText="1"/>
    </xf>
    <xf numFmtId="0" fontId="3" fillId="2" borderId="35" xfId="0" applyFont="1" applyFill="1" applyBorder="1" applyAlignment="1">
      <alignment vertical="top" wrapText="1"/>
    </xf>
    <xf numFmtId="0" fontId="2" fillId="18" borderId="30" xfId="1" applyNumberFormat="1" applyFont="1" applyFill="1" applyBorder="1" applyAlignment="1">
      <alignment wrapText="1"/>
    </xf>
    <xf numFmtId="168" fontId="2" fillId="18" borderId="30" xfId="1" applyNumberFormat="1" applyFont="1" applyFill="1" applyBorder="1" applyAlignment="1">
      <alignment wrapText="1"/>
    </xf>
    <xf numFmtId="0" fontId="3" fillId="18" borderId="23" xfId="0" applyFont="1" applyFill="1" applyBorder="1" applyAlignment="1">
      <alignment horizontal="left" vertical="top" wrapText="1"/>
    </xf>
    <xf numFmtId="168" fontId="3" fillId="18" borderId="30" xfId="1" applyNumberFormat="1" applyFont="1" applyFill="1" applyBorder="1" applyAlignment="1">
      <alignment wrapText="1"/>
    </xf>
    <xf numFmtId="0" fontId="2" fillId="27" borderId="30" xfId="0" applyFont="1" applyFill="1" applyBorder="1" applyAlignment="1">
      <alignment wrapText="1"/>
    </xf>
    <xf numFmtId="168" fontId="2" fillId="28" borderId="30" xfId="1" applyNumberFormat="1" applyFont="1" applyFill="1" applyBorder="1" applyAlignment="1">
      <alignment wrapText="1"/>
    </xf>
    <xf numFmtId="0" fontId="2" fillId="28" borderId="23" xfId="1" applyNumberFormat="1" applyFont="1" applyFill="1" applyBorder="1" applyAlignment="1">
      <alignment wrapText="1"/>
    </xf>
    <xf numFmtId="168" fontId="2" fillId="2" borderId="30" xfId="1" applyNumberFormat="1" applyFont="1" applyFill="1" applyBorder="1" applyAlignment="1">
      <alignment wrapText="1"/>
    </xf>
    <xf numFmtId="0" fontId="2" fillId="28" borderId="35" xfId="0" applyFont="1" applyFill="1" applyBorder="1" applyAlignment="1">
      <alignment vertical="top" wrapText="1"/>
    </xf>
    <xf numFmtId="0" fontId="2" fillId="28" borderId="30" xfId="1" applyNumberFormat="1" applyFont="1" applyFill="1" applyBorder="1" applyAlignment="1">
      <alignment vertical="top" wrapText="1"/>
    </xf>
    <xf numFmtId="0" fontId="3" fillId="2" borderId="23" xfId="958" applyNumberFormat="1" applyFont="1" applyFill="1" applyBorder="1" applyAlignment="1">
      <alignment horizontal="left" wrapText="1"/>
    </xf>
    <xf numFmtId="0" fontId="2" fillId="2" borderId="35" xfId="0" applyFont="1" applyFill="1" applyBorder="1" applyAlignment="1">
      <alignment wrapText="1"/>
    </xf>
    <xf numFmtId="0" fontId="3" fillId="2" borderId="43" xfId="1" applyNumberFormat="1" applyFont="1" applyFill="1" applyBorder="1" applyAlignment="1">
      <alignment wrapText="1"/>
    </xf>
    <xf numFmtId="168" fontId="3" fillId="2" borderId="43" xfId="1" applyNumberFormat="1" applyFont="1" applyFill="1" applyBorder="1" applyAlignment="1">
      <alignment wrapText="1"/>
    </xf>
    <xf numFmtId="168" fontId="2" fillId="2" borderId="43" xfId="1" applyNumberFormat="1" applyFont="1" applyFill="1" applyBorder="1" applyAlignment="1">
      <alignment wrapText="1"/>
    </xf>
    <xf numFmtId="0" fontId="3" fillId="2" borderId="24" xfId="958" applyNumberFormat="1" applyFont="1" applyFill="1" applyBorder="1" applyAlignment="1">
      <alignment horizontal="left" wrapText="1"/>
    </xf>
    <xf numFmtId="167" fontId="0" fillId="0" borderId="0" xfId="0" applyNumberFormat="1"/>
    <xf numFmtId="168" fontId="3" fillId="26" borderId="35" xfId="1" applyNumberFormat="1" applyFont="1" applyFill="1" applyBorder="1" applyAlignment="1">
      <alignment horizontal="right" wrapText="1"/>
    </xf>
    <xf numFmtId="49" fontId="7" fillId="19" borderId="30" xfId="0" applyNumberFormat="1" applyFont="1" applyFill="1" applyBorder="1" applyAlignment="1">
      <alignment horizontal="center" vertical="center" wrapText="1"/>
    </xf>
    <xf numFmtId="168" fontId="3" fillId="26" borderId="30" xfId="1" applyNumberFormat="1" applyFont="1" applyFill="1" applyBorder="1" applyAlignment="1">
      <alignment horizontal="right" wrapText="1"/>
    </xf>
    <xf numFmtId="168" fontId="3" fillId="26" borderId="38" xfId="1" applyNumberFormat="1" applyFont="1" applyFill="1" applyBorder="1" applyAlignment="1">
      <alignment horizontal="right" wrapText="1"/>
    </xf>
    <xf numFmtId="168" fontId="3" fillId="26" borderId="29" xfId="1" applyNumberFormat="1" applyFont="1" applyFill="1" applyBorder="1" applyAlignment="1">
      <alignment horizontal="right" wrapText="1"/>
    </xf>
    <xf numFmtId="43" fontId="3" fillId="26" borderId="29" xfId="1" applyFont="1" applyFill="1" applyBorder="1" applyAlignment="1">
      <alignment horizontal="right" wrapText="1"/>
    </xf>
    <xf numFmtId="43" fontId="3" fillId="26" borderId="35" xfId="1" applyFont="1" applyFill="1" applyBorder="1" applyAlignment="1">
      <alignment horizontal="right" wrapText="1"/>
    </xf>
    <xf numFmtId="43" fontId="3" fillId="26" borderId="23" xfId="1" applyFont="1" applyFill="1" applyBorder="1" applyAlignment="1">
      <alignment horizontal="right" wrapText="1"/>
    </xf>
    <xf numFmtId="192" fontId="0" fillId="0" borderId="0" xfId="0" applyNumberFormat="1"/>
    <xf numFmtId="0" fontId="42" fillId="15" borderId="29" xfId="24" applyFont="1" applyFill="1" applyBorder="1" applyAlignment="1">
      <alignment horizontal="center"/>
    </xf>
    <xf numFmtId="4" fontId="45" fillId="15" borderId="29" xfId="24" applyNumberFormat="1" applyFont="1" applyFill="1" applyBorder="1"/>
    <xf numFmtId="0" fontId="42" fillId="2" borderId="29" xfId="24" applyFont="1" applyFill="1" applyBorder="1"/>
    <xf numFmtId="0" fontId="42" fillId="2" borderId="29" xfId="24" applyFont="1" applyFill="1" applyBorder="1" applyAlignment="1">
      <alignment horizontal="center"/>
    </xf>
    <xf numFmtId="0" fontId="45" fillId="2" borderId="30" xfId="24" applyFont="1" applyFill="1" applyBorder="1"/>
    <xf numFmtId="4" fontId="45" fillId="2" borderId="29" xfId="24" applyNumberFormat="1" applyFont="1" applyFill="1" applyBorder="1"/>
    <xf numFmtId="166" fontId="42" fillId="2" borderId="23" xfId="88" applyFont="1" applyFill="1" applyBorder="1" applyProtection="1"/>
    <xf numFmtId="0" fontId="0" fillId="0" borderId="44" xfId="0" applyBorder="1" applyAlignment="1">
      <alignment horizontal="left" vertical="center" wrapText="1"/>
    </xf>
    <xf numFmtId="0" fontId="43" fillId="2" borderId="30" xfId="24" applyFont="1" applyFill="1" applyBorder="1" applyAlignment="1">
      <alignment horizontal="center" wrapText="1"/>
    </xf>
    <xf numFmtId="0" fontId="3" fillId="0" borderId="45" xfId="0" applyFont="1" applyBorder="1" applyAlignment="1">
      <alignment wrapText="1"/>
    </xf>
    <xf numFmtId="0" fontId="44" fillId="0" borderId="15" xfId="0" applyFont="1" applyBorder="1" applyAlignment="1">
      <alignment horizontal="justify" vertical="center" wrapText="1"/>
    </xf>
    <xf numFmtId="166" fontId="0" fillId="0" borderId="0" xfId="67" applyFont="1"/>
    <xf numFmtId="0" fontId="46" fillId="31" borderId="30" xfId="23" applyFont="1" applyFill="1" applyBorder="1" applyAlignment="1">
      <alignment horizontal="center" vertical="center" wrapText="1"/>
    </xf>
    <xf numFmtId="0" fontId="46" fillId="31" borderId="15" xfId="23" applyFont="1" applyFill="1" applyBorder="1" applyAlignment="1">
      <alignment horizontal="center" vertical="center" wrapText="1"/>
    </xf>
    <xf numFmtId="0" fontId="46" fillId="31" borderId="31" xfId="23" applyFont="1" applyFill="1" applyBorder="1" applyAlignment="1">
      <alignment horizontal="center" vertical="center" wrapText="1"/>
    </xf>
    <xf numFmtId="166" fontId="46" fillId="31" borderId="0" xfId="67" applyFont="1" applyFill="1" applyBorder="1" applyAlignment="1">
      <alignment horizontal="center" vertical="center" wrapText="1"/>
    </xf>
    <xf numFmtId="0" fontId="46" fillId="31" borderId="0" xfId="23" applyFont="1" applyFill="1" applyAlignment="1">
      <alignment horizontal="center" vertical="center" wrapText="1"/>
    </xf>
    <xf numFmtId="166" fontId="0" fillId="0" borderId="0" xfId="0" applyNumberFormat="1"/>
    <xf numFmtId="166" fontId="0" fillId="32" borderId="0" xfId="67" applyFont="1" applyFill="1"/>
    <xf numFmtId="43" fontId="40" fillId="0" borderId="37" xfId="0" applyNumberFormat="1" applyFont="1" applyBorder="1"/>
    <xf numFmtId="0" fontId="40" fillId="0" borderId="37" xfId="0" applyFont="1" applyBorder="1"/>
    <xf numFmtId="166" fontId="40" fillId="0" borderId="37" xfId="67" applyFont="1" applyBorder="1"/>
    <xf numFmtId="166" fontId="40" fillId="0" borderId="37" xfId="0" applyNumberFormat="1" applyFont="1" applyBorder="1"/>
    <xf numFmtId="168" fontId="2" fillId="2" borderId="35" xfId="1" applyNumberFormat="1" applyFont="1" applyFill="1" applyBorder="1" applyAlignment="1">
      <alignment wrapText="1"/>
    </xf>
    <xf numFmtId="168" fontId="2" fillId="2" borderId="44" xfId="1" applyNumberFormat="1" applyFont="1" applyFill="1" applyBorder="1" applyAlignment="1">
      <alignment wrapText="1"/>
    </xf>
    <xf numFmtId="168" fontId="2" fillId="2" borderId="29" xfId="1" applyNumberFormat="1" applyFont="1" applyFill="1" applyBorder="1" applyAlignment="1">
      <alignment wrapText="1"/>
    </xf>
    <xf numFmtId="43" fontId="2" fillId="2" borderId="35" xfId="1" applyFont="1" applyFill="1" applyBorder="1" applyAlignment="1">
      <alignment wrapText="1"/>
    </xf>
    <xf numFmtId="168" fontId="3" fillId="2" borderId="29" xfId="1" applyNumberFormat="1" applyFont="1" applyFill="1" applyBorder="1" applyAlignment="1">
      <alignment wrapText="1"/>
    </xf>
    <xf numFmtId="168" fontId="3" fillId="2" borderId="38" xfId="1" applyNumberFormat="1" applyFont="1" applyFill="1" applyBorder="1" applyAlignment="1">
      <alignment wrapText="1"/>
    </xf>
    <xf numFmtId="43" fontId="0" fillId="0" borderId="0" xfId="1" applyFont="1"/>
    <xf numFmtId="0" fontId="3" fillId="0" borderId="35" xfId="0" applyFont="1" applyBorder="1"/>
    <xf numFmtId="168" fontId="3" fillId="26" borderId="36" xfId="1" applyNumberFormat="1" applyFont="1" applyFill="1" applyBorder="1" applyAlignment="1">
      <alignment horizontal="right" wrapText="1"/>
    </xf>
    <xf numFmtId="43" fontId="3" fillId="26" borderId="36" xfId="1" applyFont="1" applyFill="1" applyBorder="1" applyAlignment="1">
      <alignment horizontal="right" wrapText="1"/>
    </xf>
    <xf numFmtId="168" fontId="2" fillId="27" borderId="35" xfId="1" applyNumberFormat="1" applyFont="1" applyFill="1" applyBorder="1" applyAlignment="1">
      <alignment wrapText="1"/>
    </xf>
    <xf numFmtId="168" fontId="2" fillId="27" borderId="44" xfId="1" applyNumberFormat="1" applyFont="1" applyFill="1" applyBorder="1" applyAlignment="1">
      <alignment wrapText="1"/>
    </xf>
    <xf numFmtId="168" fontId="3" fillId="2" borderId="30" xfId="1" applyNumberFormat="1" applyFont="1" applyFill="1" applyBorder="1"/>
    <xf numFmtId="168" fontId="2" fillId="36" borderId="30" xfId="1" applyNumberFormat="1" applyFont="1" applyFill="1" applyBorder="1" applyAlignment="1">
      <alignment horizontal="left" vertical="top" wrapText="1"/>
    </xf>
    <xf numFmtId="168" fontId="2" fillId="36" borderId="30" xfId="1" applyNumberFormat="1" applyFont="1" applyFill="1" applyBorder="1"/>
    <xf numFmtId="43" fontId="3" fillId="27" borderId="30" xfId="0" applyNumberFormat="1" applyFont="1" applyFill="1" applyBorder="1" applyAlignment="1">
      <alignment wrapText="1"/>
    </xf>
    <xf numFmtId="43" fontId="3" fillId="27" borderId="30" xfId="0" applyNumberFormat="1" applyFont="1" applyFill="1" applyBorder="1"/>
    <xf numFmtId="168" fontId="3" fillId="35" borderId="30" xfId="1" applyNumberFormat="1" applyFont="1" applyFill="1" applyBorder="1"/>
    <xf numFmtId="168" fontId="3" fillId="18" borderId="30" xfId="1" applyNumberFormat="1" applyFont="1" applyFill="1" applyBorder="1"/>
    <xf numFmtId="168" fontId="2" fillId="35" borderId="30" xfId="1" applyNumberFormat="1" applyFont="1" applyFill="1" applyBorder="1"/>
    <xf numFmtId="168" fontId="3" fillId="27" borderId="30" xfId="1" applyNumberFormat="1" applyFont="1" applyFill="1" applyBorder="1"/>
    <xf numFmtId="0" fontId="2" fillId="36" borderId="6" xfId="0" applyFont="1" applyFill="1" applyBorder="1"/>
    <xf numFmtId="168" fontId="2" fillId="36" borderId="7" xfId="1" applyNumberFormat="1" applyFont="1" applyFill="1" applyBorder="1" applyAlignment="1">
      <alignment horizontal="left" vertical="top" wrapText="1"/>
    </xf>
    <xf numFmtId="168" fontId="2" fillId="36" borderId="7" xfId="1" applyNumberFormat="1" applyFont="1" applyFill="1" applyBorder="1"/>
    <xf numFmtId="43" fontId="2" fillId="36" borderId="8" xfId="0" applyNumberFormat="1" applyFont="1" applyFill="1" applyBorder="1"/>
    <xf numFmtId="49" fontId="3" fillId="27" borderId="35" xfId="0" applyNumberFormat="1" applyFont="1" applyFill="1" applyBorder="1" applyAlignment="1">
      <alignment wrapText="1"/>
    </xf>
    <xf numFmtId="168" fontId="3" fillId="27" borderId="23" xfId="0" applyNumberFormat="1" applyFont="1" applyFill="1" applyBorder="1"/>
    <xf numFmtId="43" fontId="3" fillId="2" borderId="35" xfId="0" applyNumberFormat="1" applyFont="1" applyFill="1" applyBorder="1"/>
    <xf numFmtId="168" fontId="3" fillId="18" borderId="23" xfId="0" applyNumberFormat="1" applyFont="1" applyFill="1" applyBorder="1"/>
    <xf numFmtId="0" fontId="3" fillId="2" borderId="23" xfId="0" applyFont="1" applyFill="1" applyBorder="1"/>
    <xf numFmtId="0" fontId="3" fillId="35" borderId="35" xfId="0" applyFont="1" applyFill="1" applyBorder="1"/>
    <xf numFmtId="43" fontId="2" fillId="35" borderId="23" xfId="0" applyNumberFormat="1" applyFont="1" applyFill="1" applyBorder="1"/>
    <xf numFmtId="0" fontId="3" fillId="2" borderId="35" xfId="0" applyFont="1" applyFill="1" applyBorder="1"/>
    <xf numFmtId="0" fontId="2" fillId="36" borderId="35" xfId="0" applyFont="1" applyFill="1" applyBorder="1"/>
    <xf numFmtId="43" fontId="2" fillId="36" borderId="23" xfId="0" applyNumberFormat="1" applyFont="1" applyFill="1" applyBorder="1"/>
    <xf numFmtId="43" fontId="3" fillId="27" borderId="35" xfId="0" applyNumberFormat="1" applyFont="1" applyFill="1" applyBorder="1" applyAlignment="1">
      <alignment wrapText="1"/>
    </xf>
    <xf numFmtId="43" fontId="3" fillId="27" borderId="23" xfId="0" applyNumberFormat="1" applyFont="1" applyFill="1" applyBorder="1"/>
    <xf numFmtId="168" fontId="3" fillId="2" borderId="43" xfId="1" applyNumberFormat="1" applyFont="1" applyFill="1" applyBorder="1"/>
    <xf numFmtId="168" fontId="2" fillId="2" borderId="23" xfId="0" applyNumberFormat="1" applyFont="1" applyFill="1" applyBorder="1"/>
    <xf numFmtId="0" fontId="3" fillId="37" borderId="35" xfId="0" applyFont="1" applyFill="1" applyBorder="1"/>
    <xf numFmtId="168" fontId="3" fillId="37" borderId="30" xfId="1" applyNumberFormat="1" applyFont="1" applyFill="1" applyBorder="1"/>
    <xf numFmtId="0" fontId="3" fillId="37" borderId="23" xfId="0" applyFont="1" applyFill="1" applyBorder="1"/>
    <xf numFmtId="0" fontId="3" fillId="35" borderId="23" xfId="0" applyFont="1" applyFill="1" applyBorder="1"/>
    <xf numFmtId="0" fontId="2" fillId="2" borderId="42" xfId="0" applyFont="1" applyFill="1" applyBorder="1"/>
    <xf numFmtId="168" fontId="2" fillId="2" borderId="24" xfId="0" applyNumberFormat="1" applyFont="1" applyFill="1" applyBorder="1"/>
    <xf numFmtId="166" fontId="0" fillId="38" borderId="0" xfId="67" applyFont="1" applyFill="1"/>
    <xf numFmtId="0" fontId="3" fillId="16" borderId="30" xfId="1" applyNumberFormat="1" applyFont="1" applyFill="1" applyBorder="1" applyAlignment="1">
      <alignment wrapText="1"/>
    </xf>
    <xf numFmtId="168" fontId="3" fillId="16" borderId="30" xfId="1" applyNumberFormat="1" applyFont="1" applyFill="1" applyBorder="1" applyAlignment="1">
      <alignment wrapText="1"/>
    </xf>
    <xf numFmtId="168" fontId="3" fillId="16" borderId="29" xfId="1" applyNumberFormat="1" applyFont="1" applyFill="1" applyBorder="1" applyAlignment="1">
      <alignment horizontal="right" wrapText="1"/>
    </xf>
    <xf numFmtId="49" fontId="7" fillId="16" borderId="30" xfId="0" applyNumberFormat="1" applyFont="1" applyFill="1" applyBorder="1" applyAlignment="1">
      <alignment horizontal="center" vertical="center" wrapText="1"/>
    </xf>
    <xf numFmtId="168" fontId="3" fillId="16" borderId="30" xfId="1" applyNumberFormat="1" applyFont="1" applyFill="1" applyBorder="1" applyAlignment="1">
      <alignment horizontal="right" wrapText="1"/>
    </xf>
    <xf numFmtId="168" fontId="3" fillId="16" borderId="38" xfId="1" applyNumberFormat="1" applyFont="1" applyFill="1" applyBorder="1" applyAlignment="1">
      <alignment horizontal="right" wrapText="1"/>
    </xf>
    <xf numFmtId="43" fontId="3" fillId="16" borderId="29" xfId="1" applyFont="1" applyFill="1" applyBorder="1" applyAlignment="1">
      <alignment horizontal="right" wrapText="1"/>
    </xf>
    <xf numFmtId="43" fontId="3" fillId="16" borderId="23" xfId="1" applyFont="1" applyFill="1" applyBorder="1" applyAlignment="1">
      <alignment horizontal="right" wrapText="1"/>
    </xf>
    <xf numFmtId="0" fontId="2" fillId="16" borderId="35" xfId="0" applyFont="1" applyFill="1" applyBorder="1" applyAlignment="1">
      <alignment wrapText="1"/>
    </xf>
    <xf numFmtId="0" fontId="4" fillId="16" borderId="30" xfId="1" applyNumberFormat="1" applyFont="1" applyFill="1" applyBorder="1" applyAlignment="1">
      <alignment wrapText="1"/>
    </xf>
    <xf numFmtId="168" fontId="4" fillId="16" borderId="30" xfId="1" applyNumberFormat="1" applyFont="1" applyFill="1" applyBorder="1" applyAlignment="1">
      <alignment wrapText="1"/>
    </xf>
    <xf numFmtId="0" fontId="4" fillId="16" borderId="30" xfId="0" applyFont="1" applyFill="1" applyBorder="1" applyAlignment="1">
      <alignment wrapText="1"/>
    </xf>
    <xf numFmtId="0" fontId="3" fillId="0" borderId="30" xfId="1" applyNumberFormat="1" applyFont="1" applyFill="1" applyBorder="1" applyAlignment="1">
      <alignment wrapText="1"/>
    </xf>
    <xf numFmtId="0" fontId="3" fillId="16" borderId="30" xfId="0" applyFont="1" applyFill="1" applyBorder="1" applyAlignment="1">
      <alignment wrapText="1"/>
    </xf>
    <xf numFmtId="49" fontId="7" fillId="0" borderId="30" xfId="0" applyNumberFormat="1" applyFont="1" applyBorder="1" applyAlignment="1">
      <alignment horizontal="center" vertical="center" wrapText="1"/>
    </xf>
    <xf numFmtId="0" fontId="3" fillId="27" borderId="30" xfId="1" applyNumberFormat="1" applyFont="1" applyFill="1" applyBorder="1" applyAlignment="1">
      <alignment wrapText="1"/>
    </xf>
    <xf numFmtId="168" fontId="3" fillId="27" borderId="30" xfId="1" applyNumberFormat="1" applyFont="1" applyFill="1" applyBorder="1" applyAlignment="1">
      <alignment wrapText="1"/>
    </xf>
    <xf numFmtId="168" fontId="2" fillId="27" borderId="30" xfId="1" applyNumberFormat="1" applyFont="1" applyFill="1" applyBorder="1" applyAlignment="1">
      <alignment wrapText="1"/>
    </xf>
    <xf numFmtId="0" fontId="3" fillId="2" borderId="44" xfId="1" applyNumberFormat="1" applyFont="1" applyFill="1" applyBorder="1" applyAlignment="1">
      <alignment wrapText="1"/>
    </xf>
    <xf numFmtId="0" fontId="2" fillId="26" borderId="35" xfId="0" applyFont="1" applyFill="1" applyBorder="1" applyAlignment="1">
      <alignment horizontal="center" vertical="center" wrapText="1"/>
    </xf>
    <xf numFmtId="0" fontId="2" fillId="26" borderId="29" xfId="0" applyFont="1" applyFill="1" applyBorder="1" applyAlignment="1">
      <alignment horizontal="center" vertical="center" wrapText="1"/>
    </xf>
    <xf numFmtId="0" fontId="2" fillId="26" borderId="38" xfId="0" applyFont="1" applyFill="1" applyBorder="1" applyAlignment="1">
      <alignment horizontal="center" vertical="center" wrapText="1"/>
    </xf>
    <xf numFmtId="168" fontId="2" fillId="26" borderId="29" xfId="1" applyNumberFormat="1" applyFont="1" applyFill="1" applyBorder="1" applyAlignment="1">
      <alignment horizontal="center" vertical="center" wrapText="1"/>
    </xf>
    <xf numFmtId="168" fontId="2" fillId="26" borderId="38" xfId="1" applyNumberFormat="1" applyFont="1" applyFill="1" applyBorder="1" applyAlignment="1">
      <alignment horizontal="center" vertical="center" wrapText="1"/>
    </xf>
    <xf numFmtId="43" fontId="2" fillId="26" borderId="29" xfId="1" applyFont="1" applyFill="1" applyBorder="1" applyAlignment="1">
      <alignment horizontal="center" vertical="center" wrapText="1"/>
    </xf>
    <xf numFmtId="43" fontId="2" fillId="26" borderId="30" xfId="1" applyFont="1" applyFill="1" applyBorder="1" applyAlignment="1">
      <alignment horizontal="center" vertical="center" wrapText="1"/>
    </xf>
    <xf numFmtId="43" fontId="2" fillId="26" borderId="23" xfId="1" applyFont="1" applyFill="1" applyBorder="1" applyAlignment="1">
      <alignment horizontal="center" vertical="center" wrapText="1"/>
    </xf>
    <xf numFmtId="0" fontId="3" fillId="3" borderId="35" xfId="15" applyNumberFormat="1" applyFont="1" applyFill="1" applyBorder="1" applyAlignment="1">
      <alignment horizontal="right" vertical="top" wrapText="1"/>
    </xf>
    <xf numFmtId="0" fontId="3" fillId="3" borderId="29" xfId="15" applyNumberFormat="1" applyFont="1" applyFill="1" applyBorder="1" applyAlignment="1">
      <alignment horizontal="right" vertical="top" wrapText="1"/>
    </xf>
    <xf numFmtId="0" fontId="3" fillId="3" borderId="30" xfId="15" applyNumberFormat="1" applyFont="1" applyFill="1" applyBorder="1" applyAlignment="1">
      <alignment horizontal="right" vertical="top" wrapText="1"/>
    </xf>
    <xf numFmtId="0" fontId="3" fillId="3" borderId="38" xfId="15" applyNumberFormat="1" applyFont="1" applyFill="1" applyBorder="1" applyAlignment="1">
      <alignment horizontal="right" vertical="top" wrapText="1"/>
    </xf>
    <xf numFmtId="168" fontId="3" fillId="3" borderId="29" xfId="1" applyNumberFormat="1" applyFont="1" applyFill="1" applyBorder="1" applyAlignment="1">
      <alignment horizontal="right" vertical="top" wrapText="1"/>
    </xf>
    <xf numFmtId="168" fontId="3" fillId="3" borderId="30" xfId="1" applyNumberFormat="1" applyFont="1" applyFill="1" applyBorder="1" applyAlignment="1">
      <alignment horizontal="right" vertical="top" wrapText="1"/>
    </xf>
    <xf numFmtId="168" fontId="3" fillId="3" borderId="38" xfId="1" applyNumberFormat="1" applyFont="1" applyFill="1" applyBorder="1" applyAlignment="1">
      <alignment horizontal="right" vertical="top" wrapText="1"/>
    </xf>
    <xf numFmtId="43" fontId="3" fillId="3" borderId="29" xfId="1" applyFont="1" applyFill="1" applyBorder="1" applyAlignment="1">
      <alignment horizontal="left" vertical="top" wrapText="1"/>
    </xf>
    <xf numFmtId="43" fontId="3" fillId="3" borderId="30" xfId="1" applyFont="1" applyFill="1" applyBorder="1" applyAlignment="1">
      <alignment horizontal="left" vertical="top" wrapText="1"/>
    </xf>
    <xf numFmtId="43" fontId="3" fillId="3" borderId="23" xfId="1" applyFont="1" applyFill="1" applyBorder="1" applyAlignment="1">
      <alignment horizontal="left" vertical="top" wrapText="1"/>
    </xf>
    <xf numFmtId="43" fontId="3" fillId="3" borderId="29" xfId="1" applyFont="1" applyFill="1" applyBorder="1" applyAlignment="1">
      <alignment horizontal="right" vertical="top" wrapText="1"/>
    </xf>
    <xf numFmtId="43" fontId="3" fillId="3" borderId="30" xfId="1" applyFont="1" applyFill="1" applyBorder="1" applyAlignment="1">
      <alignment horizontal="right" vertical="top" wrapText="1"/>
    </xf>
    <xf numFmtId="43" fontId="3" fillId="3" borderId="23" xfId="1" applyFont="1" applyFill="1" applyBorder="1" applyAlignment="1">
      <alignment horizontal="right" vertical="top" wrapText="1"/>
    </xf>
    <xf numFmtId="0" fontId="2" fillId="17" borderId="35" xfId="0" applyFont="1" applyFill="1" applyBorder="1" applyAlignment="1">
      <alignment horizontal="right" wrapText="1"/>
    </xf>
    <xf numFmtId="0" fontId="2" fillId="17" borderId="30" xfId="0" applyFont="1" applyFill="1" applyBorder="1" applyAlignment="1">
      <alignment horizontal="right" wrapText="1"/>
    </xf>
    <xf numFmtId="0" fontId="2" fillId="17" borderId="38" xfId="0" applyFont="1" applyFill="1" applyBorder="1" applyAlignment="1">
      <alignment horizontal="right" wrapText="1"/>
    </xf>
    <xf numFmtId="168" fontId="2" fillId="17" borderId="29" xfId="1" applyNumberFormat="1" applyFont="1" applyFill="1" applyBorder="1" applyAlignment="1">
      <alignment horizontal="right" wrapText="1"/>
    </xf>
    <xf numFmtId="168" fontId="2" fillId="17" borderId="30" xfId="1" applyNumberFormat="1" applyFont="1" applyFill="1" applyBorder="1" applyAlignment="1">
      <alignment horizontal="right" wrapText="1"/>
    </xf>
    <xf numFmtId="168" fontId="2" fillId="17" borderId="38" xfId="1" applyNumberFormat="1" applyFont="1" applyFill="1" applyBorder="1" applyAlignment="1">
      <alignment horizontal="right" wrapText="1"/>
    </xf>
    <xf numFmtId="43" fontId="2" fillId="17" borderId="29" xfId="1" applyFont="1" applyFill="1" applyBorder="1" applyAlignment="1">
      <alignment horizontal="right" wrapText="1"/>
    </xf>
    <xf numFmtId="43" fontId="2" fillId="17" borderId="30" xfId="1" applyFont="1" applyFill="1" applyBorder="1" applyAlignment="1">
      <alignment horizontal="right" wrapText="1"/>
    </xf>
    <xf numFmtId="43" fontId="2" fillId="17" borderId="23" xfId="1" applyFont="1" applyFill="1" applyBorder="1" applyAlignment="1">
      <alignment horizontal="right" wrapText="1"/>
    </xf>
    <xf numFmtId="0" fontId="3" fillId="26" borderId="35" xfId="1" applyNumberFormat="1" applyFont="1" applyFill="1" applyBorder="1" applyAlignment="1">
      <alignment horizontal="right" wrapText="1"/>
    </xf>
    <xf numFmtId="0" fontId="3" fillId="26" borderId="30" xfId="1" applyNumberFormat="1" applyFont="1" applyFill="1" applyBorder="1" applyAlignment="1">
      <alignment horizontal="right" wrapText="1"/>
    </xf>
    <xf numFmtId="0" fontId="3" fillId="26" borderId="38" xfId="1" applyNumberFormat="1" applyFont="1" applyFill="1" applyBorder="1" applyAlignment="1">
      <alignment horizontal="right" wrapText="1"/>
    </xf>
    <xf numFmtId="43" fontId="3" fillId="26" borderId="30" xfId="1" applyFont="1" applyFill="1" applyBorder="1" applyAlignment="1">
      <alignment horizontal="right" wrapText="1"/>
    </xf>
    <xf numFmtId="0" fontId="2" fillId="3" borderId="35" xfId="0" applyFont="1" applyFill="1" applyBorder="1" applyAlignment="1">
      <alignment horizontal="right" wrapText="1"/>
    </xf>
    <xf numFmtId="0" fontId="2" fillId="3" borderId="30" xfId="0" applyFont="1" applyFill="1" applyBorder="1" applyAlignment="1">
      <alignment horizontal="right" wrapText="1"/>
    </xf>
    <xf numFmtId="0" fontId="2" fillId="3" borderId="38" xfId="0" applyFont="1" applyFill="1" applyBorder="1" applyAlignment="1">
      <alignment horizontal="right" wrapText="1"/>
    </xf>
    <xf numFmtId="168" fontId="2" fillId="3" borderId="29" xfId="1" applyNumberFormat="1" applyFont="1" applyFill="1" applyBorder="1" applyAlignment="1">
      <alignment horizontal="right" wrapText="1"/>
    </xf>
    <xf numFmtId="168" fontId="2" fillId="3" borderId="30" xfId="1" applyNumberFormat="1" applyFont="1" applyFill="1" applyBorder="1" applyAlignment="1">
      <alignment horizontal="right" wrapText="1"/>
    </xf>
    <xf numFmtId="168" fontId="2" fillId="3" borderId="38" xfId="1" applyNumberFormat="1" applyFont="1" applyFill="1" applyBorder="1" applyAlignment="1">
      <alignment horizontal="right" wrapText="1"/>
    </xf>
    <xf numFmtId="43" fontId="2" fillId="3" borderId="29" xfId="1" applyFont="1" applyFill="1" applyBorder="1" applyAlignment="1">
      <alignment horizontal="right" wrapText="1"/>
    </xf>
    <xf numFmtId="43" fontId="2" fillId="3" borderId="30" xfId="1" applyFont="1" applyFill="1" applyBorder="1" applyAlignment="1">
      <alignment horizontal="right" wrapText="1"/>
    </xf>
    <xf numFmtId="43" fontId="2" fillId="3" borderId="23" xfId="1" applyFont="1" applyFill="1" applyBorder="1" applyAlignment="1">
      <alignment horizontal="right" wrapText="1"/>
    </xf>
    <xf numFmtId="0" fontId="2" fillId="26" borderId="35" xfId="0" applyFont="1" applyFill="1" applyBorder="1" applyAlignment="1">
      <alignment horizontal="right" wrapText="1"/>
    </xf>
    <xf numFmtId="0" fontId="2" fillId="26" borderId="30" xfId="0" applyFont="1" applyFill="1" applyBorder="1" applyAlignment="1">
      <alignment horizontal="right" wrapText="1"/>
    </xf>
    <xf numFmtId="0" fontId="2" fillId="26" borderId="38" xfId="0" applyFont="1" applyFill="1" applyBorder="1" applyAlignment="1">
      <alignment horizontal="right" wrapText="1"/>
    </xf>
    <xf numFmtId="168" fontId="2" fillId="26" borderId="29" xfId="1" applyNumberFormat="1" applyFont="1" applyFill="1" applyBorder="1" applyAlignment="1">
      <alignment horizontal="right" wrapText="1"/>
    </xf>
    <xf numFmtId="168" fontId="2" fillId="26" borderId="30" xfId="1" applyNumberFormat="1" applyFont="1" applyFill="1" applyBorder="1" applyAlignment="1">
      <alignment horizontal="right" wrapText="1"/>
    </xf>
    <xf numFmtId="168" fontId="2" fillId="26" borderId="38" xfId="1" applyNumberFormat="1" applyFont="1" applyFill="1" applyBorder="1" applyAlignment="1">
      <alignment horizontal="right" wrapText="1"/>
    </xf>
    <xf numFmtId="43" fontId="2" fillId="26" borderId="29" xfId="1" applyFont="1" applyFill="1" applyBorder="1" applyAlignment="1">
      <alignment horizontal="right" wrapText="1"/>
    </xf>
    <xf numFmtId="43" fontId="2" fillId="26" borderId="30" xfId="1" applyFont="1" applyFill="1" applyBorder="1" applyAlignment="1">
      <alignment horizontal="right" wrapText="1"/>
    </xf>
    <xf numFmtId="43" fontId="2" fillId="26" borderId="23" xfId="1" applyFont="1" applyFill="1" applyBorder="1" applyAlignment="1">
      <alignment horizontal="right" wrapText="1"/>
    </xf>
    <xf numFmtId="43" fontId="2" fillId="3" borderId="29" xfId="1" applyFont="1" applyFill="1" applyBorder="1" applyAlignment="1">
      <alignment wrapText="1"/>
    </xf>
    <xf numFmtId="43" fontId="2" fillId="3" borderId="30" xfId="1" applyFont="1" applyFill="1" applyBorder="1" applyAlignment="1">
      <alignment wrapText="1"/>
    </xf>
    <xf numFmtId="43" fontId="2" fillId="3" borderId="23" xfId="1" applyFont="1" applyFill="1" applyBorder="1" applyAlignment="1">
      <alignment wrapText="1"/>
    </xf>
    <xf numFmtId="0" fontId="3" fillId="0" borderId="35" xfId="0" applyFont="1" applyBorder="1" applyAlignment="1">
      <alignment horizontal="right" vertical="top" wrapText="1"/>
    </xf>
    <xf numFmtId="0" fontId="3" fillId="0" borderId="30" xfId="0" applyFont="1" applyBorder="1" applyAlignment="1">
      <alignment horizontal="right" vertical="top" wrapText="1"/>
    </xf>
    <xf numFmtId="0" fontId="3" fillId="0" borderId="38" xfId="0" applyFont="1" applyBorder="1" applyAlignment="1">
      <alignment horizontal="right" vertical="top" wrapText="1"/>
    </xf>
    <xf numFmtId="168" fontId="3" fillId="0" borderId="29" xfId="1" applyNumberFormat="1" applyFont="1" applyFill="1" applyBorder="1" applyAlignment="1">
      <alignment horizontal="right" vertical="top" wrapText="1"/>
    </xf>
    <xf numFmtId="168" fontId="3" fillId="0" borderId="30" xfId="1" applyNumberFormat="1" applyFont="1" applyFill="1" applyBorder="1" applyAlignment="1">
      <alignment horizontal="right" vertical="top" wrapText="1"/>
    </xf>
    <xf numFmtId="168" fontId="3" fillId="0" borderId="38" xfId="1" applyNumberFormat="1" applyFont="1" applyFill="1" applyBorder="1" applyAlignment="1">
      <alignment horizontal="right" vertical="top" wrapText="1"/>
    </xf>
    <xf numFmtId="43" fontId="3" fillId="0" borderId="29" xfId="1" applyFont="1" applyFill="1" applyBorder="1" applyAlignment="1">
      <alignment horizontal="right" vertical="top" wrapText="1"/>
    </xf>
    <xf numFmtId="43" fontId="3" fillId="0" borderId="30" xfId="1" applyFont="1" applyFill="1" applyBorder="1" applyAlignment="1">
      <alignment horizontal="right" vertical="top" wrapText="1"/>
    </xf>
    <xf numFmtId="43" fontId="3" fillId="0" borderId="23" xfId="1" applyFont="1" applyFill="1" applyBorder="1" applyAlignment="1">
      <alignment horizontal="right" vertical="top" wrapText="1"/>
    </xf>
    <xf numFmtId="168" fontId="2" fillId="3" borderId="35" xfId="0" applyNumberFormat="1" applyFont="1" applyFill="1" applyBorder="1" applyAlignment="1">
      <alignment horizontal="right" wrapText="1"/>
    </xf>
    <xf numFmtId="168" fontId="2" fillId="3" borderId="44" xfId="0" applyNumberFormat="1" applyFont="1" applyFill="1" applyBorder="1" applyAlignment="1">
      <alignment horizontal="right" wrapText="1"/>
    </xf>
    <xf numFmtId="168" fontId="2" fillId="3" borderId="35" xfId="1" applyNumberFormat="1" applyFont="1" applyFill="1" applyBorder="1" applyAlignment="1">
      <alignment horizontal="right" wrapText="1"/>
    </xf>
    <xf numFmtId="43" fontId="2" fillId="3" borderId="35" xfId="1" applyFont="1" applyFill="1" applyBorder="1" applyAlignment="1">
      <alignment horizontal="right" wrapText="1"/>
    </xf>
    <xf numFmtId="168" fontId="2" fillId="28" borderId="35" xfId="1" applyNumberFormat="1" applyFont="1" applyFill="1" applyBorder="1" applyAlignment="1">
      <alignment vertical="top" wrapText="1"/>
    </xf>
    <xf numFmtId="168" fontId="2" fillId="28" borderId="44" xfId="1" applyNumberFormat="1" applyFont="1" applyFill="1" applyBorder="1" applyAlignment="1">
      <alignment vertical="top" wrapText="1"/>
    </xf>
    <xf numFmtId="168" fontId="2" fillId="28" borderId="29" xfId="1" applyNumberFormat="1" applyFont="1" applyFill="1" applyBorder="1" applyAlignment="1">
      <alignment vertical="top" wrapText="1"/>
    </xf>
    <xf numFmtId="43" fontId="2" fillId="28" borderId="35" xfId="1" applyFont="1" applyFill="1" applyBorder="1" applyAlignment="1">
      <alignment vertical="top" wrapText="1"/>
    </xf>
    <xf numFmtId="0" fontId="34" fillId="17" borderId="35" xfId="0" applyFont="1" applyFill="1" applyBorder="1" applyAlignment="1">
      <alignment wrapText="1"/>
    </xf>
    <xf numFmtId="0" fontId="3" fillId="0" borderId="35" xfId="15" applyNumberFormat="1" applyFont="1" applyFill="1" applyBorder="1" applyAlignment="1">
      <alignment horizontal="right" vertical="top" wrapText="1"/>
    </xf>
    <xf numFmtId="0" fontId="3" fillId="0" borderId="30" xfId="15" applyNumberFormat="1" applyFont="1" applyFill="1" applyBorder="1" applyAlignment="1">
      <alignment horizontal="right" vertical="top" wrapText="1"/>
    </xf>
    <xf numFmtId="0" fontId="3" fillId="0" borderId="38" xfId="15" applyNumberFormat="1" applyFont="1" applyFill="1" applyBorder="1" applyAlignment="1">
      <alignment horizontal="right" vertical="top" wrapText="1"/>
    </xf>
    <xf numFmtId="0" fontId="34" fillId="0" borderId="35" xfId="0" applyFont="1" applyBorder="1" applyAlignment="1">
      <alignment wrapText="1"/>
    </xf>
    <xf numFmtId="0" fontId="3" fillId="0" borderId="35" xfId="0" applyFont="1" applyBorder="1" applyAlignment="1">
      <alignment horizontal="left" wrapText="1"/>
    </xf>
    <xf numFmtId="0" fontId="3" fillId="0" borderId="23" xfId="0" applyFont="1" applyBorder="1" applyAlignment="1">
      <alignment wrapText="1"/>
    </xf>
    <xf numFmtId="0" fontId="2" fillId="3" borderId="44" xfId="0" applyFont="1" applyFill="1" applyBorder="1" applyAlignment="1">
      <alignment wrapText="1"/>
    </xf>
    <xf numFmtId="168" fontId="2" fillId="3" borderId="29" xfId="1" applyNumberFormat="1" applyFont="1" applyFill="1" applyBorder="1" applyAlignment="1">
      <alignment wrapText="1"/>
    </xf>
    <xf numFmtId="168" fontId="2" fillId="3" borderId="35" xfId="1" applyNumberFormat="1" applyFont="1" applyFill="1" applyBorder="1" applyAlignment="1">
      <alignment wrapText="1"/>
    </xf>
    <xf numFmtId="168" fontId="2" fillId="3" borderId="44" xfId="1" applyNumberFormat="1" applyFont="1" applyFill="1" applyBorder="1" applyAlignment="1">
      <alignment wrapText="1"/>
    </xf>
    <xf numFmtId="43" fontId="2" fillId="3" borderId="35" xfId="1" applyFont="1" applyFill="1" applyBorder="1" applyAlignment="1">
      <alignment wrapText="1"/>
    </xf>
    <xf numFmtId="0" fontId="2" fillId="17" borderId="44" xfId="0" applyFont="1" applyFill="1" applyBorder="1" applyAlignment="1">
      <alignment wrapText="1"/>
    </xf>
    <xf numFmtId="168" fontId="2" fillId="17" borderId="29" xfId="1" applyNumberFormat="1" applyFont="1" applyFill="1" applyBorder="1" applyAlignment="1">
      <alignment wrapText="1"/>
    </xf>
    <xf numFmtId="168" fontId="2" fillId="17" borderId="35" xfId="1" applyNumberFormat="1" applyFont="1" applyFill="1" applyBorder="1" applyAlignment="1">
      <alignment wrapText="1"/>
    </xf>
    <xf numFmtId="168" fontId="2" fillId="17" borderId="44" xfId="1" applyNumberFormat="1" applyFont="1" applyFill="1" applyBorder="1" applyAlignment="1">
      <alignment wrapText="1"/>
    </xf>
    <xf numFmtId="43" fontId="2" fillId="17" borderId="29" xfId="1" applyFont="1" applyFill="1" applyBorder="1" applyAlignment="1">
      <alignment wrapText="1"/>
    </xf>
    <xf numFmtId="43" fontId="2" fillId="17" borderId="35" xfId="1" applyFont="1" applyFill="1" applyBorder="1" applyAlignment="1">
      <alignment wrapText="1"/>
    </xf>
    <xf numFmtId="0" fontId="35" fillId="17" borderId="23" xfId="0" applyFont="1" applyFill="1" applyBorder="1" applyAlignment="1">
      <alignment wrapText="1"/>
    </xf>
    <xf numFmtId="0" fontId="36" fillId="0" borderId="23" xfId="15" applyNumberFormat="1" applyFont="1" applyFill="1" applyBorder="1" applyAlignment="1">
      <alignment horizontal="left" vertical="top" wrapText="1"/>
    </xf>
    <xf numFmtId="0" fontId="2" fillId="17" borderId="41" xfId="0" applyFont="1" applyFill="1" applyBorder="1" applyAlignment="1">
      <alignment wrapText="1"/>
    </xf>
    <xf numFmtId="0" fontId="3" fillId="2" borderId="35" xfId="1" applyNumberFormat="1" applyFont="1" applyFill="1" applyBorder="1" applyAlignment="1">
      <alignment wrapText="1"/>
    </xf>
    <xf numFmtId="168" fontId="2" fillId="3" borderId="38" xfId="1" applyNumberFormat="1" applyFont="1" applyFill="1" applyBorder="1" applyAlignment="1">
      <alignment wrapText="1"/>
    </xf>
    <xf numFmtId="0" fontId="6" fillId="0" borderId="35" xfId="0" applyFont="1" applyBorder="1" applyAlignment="1">
      <alignment wrapText="1"/>
    </xf>
    <xf numFmtId="0" fontId="2" fillId="27" borderId="30" xfId="1" applyNumberFormat="1" applyFont="1" applyFill="1" applyBorder="1" applyAlignment="1">
      <alignment wrapText="1"/>
    </xf>
    <xf numFmtId="0" fontId="3" fillId="0" borderId="44" xfId="0" applyFont="1" applyBorder="1" applyAlignment="1">
      <alignment horizontal="left" vertical="center" wrapText="1"/>
    </xf>
    <xf numFmtId="0" fontId="2" fillId="3" borderId="35" xfId="0" applyFont="1" applyFill="1" applyBorder="1" applyAlignment="1">
      <alignment horizontal="left" wrapText="1"/>
    </xf>
    <xf numFmtId="0" fontId="2" fillId="3" borderId="30" xfId="0" applyFont="1" applyFill="1" applyBorder="1" applyAlignment="1">
      <alignment horizontal="center" wrapText="1"/>
    </xf>
    <xf numFmtId="168" fontId="2" fillId="3" borderId="30" xfId="1" applyNumberFormat="1" applyFont="1" applyFill="1" applyBorder="1" applyAlignment="1">
      <alignment horizontal="center" wrapText="1"/>
    </xf>
    <xf numFmtId="0" fontId="3" fillId="2" borderId="30" xfId="1" applyNumberFormat="1" applyFont="1" applyFill="1" applyBorder="1" applyAlignment="1">
      <alignment horizontal="center" wrapText="1"/>
    </xf>
    <xf numFmtId="0" fontId="3" fillId="18" borderId="30" xfId="1" applyNumberFormat="1" applyFont="1" applyFill="1" applyBorder="1" applyAlignment="1">
      <alignment wrapText="1"/>
    </xf>
    <xf numFmtId="0" fontId="2" fillId="18" borderId="30" xfId="0" applyFont="1" applyFill="1" applyBorder="1" applyAlignment="1">
      <alignment wrapText="1"/>
    </xf>
    <xf numFmtId="168" fontId="2" fillId="18" borderId="35" xfId="1" applyNumberFormat="1" applyFont="1" applyFill="1" applyBorder="1" applyAlignment="1">
      <alignment wrapText="1"/>
    </xf>
    <xf numFmtId="168" fontId="2" fillId="18" borderId="44" xfId="1" applyNumberFormat="1" applyFont="1" applyFill="1" applyBorder="1" applyAlignment="1">
      <alignment wrapText="1"/>
    </xf>
    <xf numFmtId="43" fontId="2" fillId="18" borderId="29" xfId="1" applyFont="1" applyFill="1" applyBorder="1" applyAlignment="1">
      <alignment wrapText="1"/>
    </xf>
    <xf numFmtId="43" fontId="2" fillId="18" borderId="35" xfId="1" applyFont="1" applyFill="1" applyBorder="1" applyAlignment="1">
      <alignment wrapText="1"/>
    </xf>
    <xf numFmtId="43" fontId="4" fillId="2" borderId="30" xfId="1" applyFont="1" applyFill="1" applyBorder="1" applyAlignment="1">
      <alignment wrapText="1"/>
    </xf>
    <xf numFmtId="0" fontId="2" fillId="18" borderId="35" xfId="0" applyFont="1" applyFill="1" applyBorder="1" applyAlignment="1">
      <alignment wrapText="1"/>
    </xf>
    <xf numFmtId="0" fontId="2" fillId="18" borderId="41" xfId="0" applyFont="1" applyFill="1" applyBorder="1" applyAlignment="1">
      <alignment wrapText="1"/>
    </xf>
    <xf numFmtId="0" fontId="3" fillId="16" borderId="23" xfId="0" applyFont="1" applyFill="1" applyBorder="1" applyAlignment="1">
      <alignment horizontal="left" vertical="top" wrapText="1"/>
    </xf>
    <xf numFmtId="168" fontId="3" fillId="16" borderId="35" xfId="1" applyNumberFormat="1" applyFont="1" applyFill="1" applyBorder="1" applyAlignment="1">
      <alignment horizontal="right" wrapText="1"/>
    </xf>
    <xf numFmtId="43" fontId="3" fillId="16" borderId="35" xfId="1" applyFont="1" applyFill="1" applyBorder="1" applyAlignment="1">
      <alignment horizontal="right" wrapText="1"/>
    </xf>
    <xf numFmtId="0" fontId="2" fillId="27" borderId="35" xfId="0" applyFont="1" applyFill="1" applyBorder="1" applyAlignment="1">
      <alignment wrapText="1"/>
    </xf>
    <xf numFmtId="0" fontId="2" fillId="28" borderId="35" xfId="0" applyFont="1" applyFill="1" applyBorder="1" applyAlignment="1">
      <alignment wrapText="1"/>
    </xf>
    <xf numFmtId="0" fontId="2" fillId="28" borderId="30" xfId="1" applyNumberFormat="1" applyFont="1" applyFill="1" applyBorder="1" applyAlignment="1">
      <alignment wrapText="1"/>
    </xf>
    <xf numFmtId="168" fontId="2" fillId="28" borderId="35" xfId="1" applyNumberFormat="1" applyFont="1" applyFill="1" applyBorder="1" applyAlignment="1">
      <alignment wrapText="1"/>
    </xf>
    <xf numFmtId="168" fontId="2" fillId="28" borderId="44" xfId="1" applyNumberFormat="1" applyFont="1" applyFill="1" applyBorder="1" applyAlignment="1">
      <alignment wrapText="1"/>
    </xf>
    <xf numFmtId="168" fontId="2" fillId="28" borderId="29" xfId="1" applyNumberFormat="1" applyFont="1" applyFill="1" applyBorder="1" applyAlignment="1">
      <alignment wrapText="1"/>
    </xf>
    <xf numFmtId="43" fontId="2" fillId="28" borderId="35" xfId="1" applyFont="1" applyFill="1" applyBorder="1" applyAlignment="1">
      <alignment wrapText="1"/>
    </xf>
    <xf numFmtId="0" fontId="2" fillId="2" borderId="30" xfId="1" applyNumberFormat="1" applyFont="1" applyFill="1" applyBorder="1" applyAlignment="1">
      <alignment wrapText="1"/>
    </xf>
    <xf numFmtId="0" fontId="2" fillId="2" borderId="23" xfId="1" applyNumberFormat="1" applyFont="1" applyFill="1" applyBorder="1" applyAlignment="1">
      <alignment wrapText="1"/>
    </xf>
    <xf numFmtId="168" fontId="2" fillId="28" borderId="30" xfId="1" applyNumberFormat="1" applyFont="1" applyFill="1" applyBorder="1" applyAlignment="1">
      <alignment vertical="top" wrapText="1"/>
    </xf>
    <xf numFmtId="168" fontId="3" fillId="2" borderId="35" xfId="1" applyNumberFormat="1" applyFont="1" applyFill="1" applyBorder="1" applyAlignment="1">
      <alignment wrapText="1"/>
    </xf>
    <xf numFmtId="168" fontId="3" fillId="2" borderId="29" xfId="1" applyNumberFormat="1" applyFont="1" applyFill="1" applyBorder="1" applyAlignment="1">
      <alignment horizontal="right" wrapText="1"/>
    </xf>
    <xf numFmtId="168" fontId="3" fillId="2" borderId="30" xfId="1" applyNumberFormat="1" applyFont="1" applyFill="1" applyBorder="1" applyAlignment="1">
      <alignment horizontal="right" wrapText="1"/>
    </xf>
    <xf numFmtId="168" fontId="3" fillId="2" borderId="38" xfId="1" applyNumberFormat="1" applyFont="1" applyFill="1" applyBorder="1" applyAlignment="1">
      <alignment horizontal="right" wrapText="1"/>
    </xf>
    <xf numFmtId="43" fontId="3" fillId="2" borderId="29" xfId="1" applyFont="1" applyFill="1" applyBorder="1" applyAlignment="1">
      <alignment horizontal="right" wrapText="1"/>
    </xf>
    <xf numFmtId="0" fontId="39" fillId="2" borderId="42" xfId="0" applyFont="1" applyFill="1" applyBorder="1" applyAlignment="1">
      <alignment wrapText="1"/>
    </xf>
    <xf numFmtId="9" fontId="2" fillId="2" borderId="43" xfId="958" applyFont="1" applyFill="1" applyBorder="1" applyAlignment="1">
      <alignment wrapText="1"/>
    </xf>
    <xf numFmtId="43" fontId="3" fillId="2" borderId="30" xfId="1" applyFont="1" applyFill="1" applyBorder="1" applyAlignment="1">
      <alignment horizontal="right" wrapText="1"/>
    </xf>
    <xf numFmtId="43" fontId="3" fillId="2" borderId="23" xfId="1" applyFont="1" applyFill="1" applyBorder="1" applyAlignment="1">
      <alignment horizontal="right" wrapText="1"/>
    </xf>
    <xf numFmtId="4" fontId="43" fillId="29" borderId="54" xfId="24" applyNumberFormat="1" applyFont="1" applyFill="1" applyBorder="1"/>
    <xf numFmtId="0" fontId="44" fillId="0" borderId="55" xfId="0" applyFont="1" applyBorder="1" applyAlignment="1">
      <alignment horizontal="justify" vertical="center" wrapText="1"/>
    </xf>
    <xf numFmtId="0" fontId="43" fillId="15" borderId="55" xfId="24" applyFont="1" applyFill="1" applyBorder="1" applyAlignment="1">
      <alignment wrapText="1"/>
    </xf>
    <xf numFmtId="166" fontId="42" fillId="29" borderId="56" xfId="88" applyFont="1" applyFill="1" applyBorder="1" applyProtection="1"/>
    <xf numFmtId="0" fontId="7" fillId="2" borderId="3" xfId="0" applyFont="1" applyFill="1" applyBorder="1" applyAlignment="1">
      <alignment horizontal="center" wrapText="1"/>
    </xf>
    <xf numFmtId="0" fontId="7" fillId="2" borderId="2" xfId="0" applyFont="1" applyFill="1" applyBorder="1" applyAlignment="1">
      <alignment horizontal="center" wrapText="1"/>
    </xf>
    <xf numFmtId="0" fontId="7" fillId="2" borderId="5" xfId="0" applyFont="1" applyFill="1" applyBorder="1" applyAlignment="1">
      <alignment horizontal="center" wrapText="1"/>
    </xf>
    <xf numFmtId="168" fontId="7" fillId="2" borderId="3" xfId="1" applyNumberFormat="1" applyFont="1" applyFill="1" applyBorder="1" applyAlignment="1">
      <alignment horizontal="center" wrapText="1"/>
    </xf>
    <xf numFmtId="168" fontId="7" fillId="2" borderId="2" xfId="1" applyNumberFormat="1" applyFont="1" applyFill="1" applyBorder="1" applyAlignment="1">
      <alignment horizontal="center" wrapText="1"/>
    </xf>
    <xf numFmtId="168" fontId="7" fillId="2" borderId="5" xfId="1" applyNumberFormat="1" applyFont="1" applyFill="1" applyBorder="1" applyAlignment="1">
      <alignment horizontal="center" wrapText="1"/>
    </xf>
    <xf numFmtId="43" fontId="7" fillId="2" borderId="3" xfId="1" applyFont="1" applyFill="1" applyBorder="1" applyAlignment="1">
      <alignment horizontal="center" wrapText="1"/>
    </xf>
    <xf numFmtId="43" fontId="7" fillId="2" borderId="2" xfId="1" applyFont="1" applyFill="1" applyBorder="1" applyAlignment="1">
      <alignment horizontal="center" wrapText="1"/>
    </xf>
    <xf numFmtId="43" fontId="7" fillId="2" borderId="5" xfId="1" applyFont="1" applyFill="1" applyBorder="1" applyAlignment="1">
      <alignment horizontal="center" wrapText="1"/>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6" borderId="6" xfId="0" applyFont="1" applyFill="1" applyBorder="1" applyAlignment="1">
      <alignment horizontal="center" vertical="top" wrapText="1"/>
    </xf>
    <xf numFmtId="0" fontId="2" fillId="26" borderId="35" xfId="0" applyFont="1" applyFill="1" applyBorder="1" applyAlignment="1">
      <alignment horizontal="center" vertical="top" wrapText="1"/>
    </xf>
    <xf numFmtId="0" fontId="2" fillId="26" borderId="19" xfId="0" applyFont="1" applyFill="1" applyBorder="1" applyAlignment="1">
      <alignment horizontal="center" vertical="center" wrapText="1"/>
    </xf>
    <xf numFmtId="0" fontId="2" fillId="26" borderId="18" xfId="0" applyFont="1" applyFill="1" applyBorder="1" applyAlignment="1">
      <alignment horizontal="center" vertical="center" wrapText="1"/>
    </xf>
    <xf numFmtId="0" fontId="42" fillId="15" borderId="57" xfId="24" applyFont="1" applyFill="1" applyBorder="1"/>
    <xf numFmtId="0" fontId="0" fillId="0" borderId="27" xfId="0" applyBorder="1"/>
    <xf numFmtId="0" fontId="0" fillId="0" borderId="14" xfId="0" applyBorder="1"/>
    <xf numFmtId="0" fontId="43" fillId="15" borderId="55" xfId="24" applyFont="1" applyFill="1" applyBorder="1" applyAlignment="1">
      <alignment horizontal="center" wrapText="1"/>
    </xf>
    <xf numFmtId="0" fontId="0" fillId="15" borderId="15" xfId="0" applyFill="1" applyBorder="1" applyAlignment="1">
      <alignment horizontal="center" wrapText="1"/>
    </xf>
    <xf numFmtId="0" fontId="0" fillId="15" borderId="18" xfId="0" applyFill="1" applyBorder="1" applyAlignment="1">
      <alignment horizontal="center" wrapText="1"/>
    </xf>
    <xf numFmtId="0" fontId="43" fillId="15" borderId="15" xfId="24" applyFont="1" applyFill="1" applyBorder="1" applyAlignment="1">
      <alignment horizontal="center" wrapText="1"/>
    </xf>
    <xf numFmtId="0" fontId="43" fillId="15" borderId="18" xfId="24" applyFont="1" applyFill="1" applyBorder="1" applyAlignment="1">
      <alignment horizontal="center" wrapText="1"/>
    </xf>
    <xf numFmtId="0" fontId="44" fillId="15" borderId="55" xfId="0" applyFont="1" applyFill="1" applyBorder="1" applyAlignment="1">
      <alignment horizontal="center" wrapText="1"/>
    </xf>
    <xf numFmtId="0" fontId="44" fillId="15" borderId="15" xfId="0" applyFont="1" applyFill="1" applyBorder="1" applyAlignment="1">
      <alignment horizontal="center" wrapText="1"/>
    </xf>
    <xf numFmtId="0" fontId="44" fillId="15" borderId="18" xfId="0" applyFont="1" applyFill="1" applyBorder="1" applyAlignment="1">
      <alignment horizontal="center" wrapText="1"/>
    </xf>
    <xf numFmtId="0" fontId="48" fillId="2" borderId="0" xfId="0" applyFont="1" applyFill="1"/>
    <xf numFmtId="0" fontId="49" fillId="2" borderId="0" xfId="0" applyFont="1" applyFill="1" applyAlignment="1">
      <alignment wrapText="1"/>
    </xf>
    <xf numFmtId="168" fontId="49" fillId="2" borderId="0" xfId="1" applyNumberFormat="1" applyFont="1" applyFill="1" applyAlignment="1">
      <alignment wrapText="1"/>
    </xf>
    <xf numFmtId="168" fontId="49" fillId="2" borderId="0" xfId="1" applyNumberFormat="1" applyFont="1" applyFill="1" applyAlignment="1">
      <alignment horizontal="left" wrapText="1"/>
    </xf>
    <xf numFmtId="0" fontId="49" fillId="2" borderId="0" xfId="0" applyFont="1" applyFill="1" applyAlignment="1">
      <alignment horizontal="left" wrapText="1"/>
    </xf>
    <xf numFmtId="0" fontId="49" fillId="0" borderId="0" xfId="0" applyFont="1"/>
    <xf numFmtId="43" fontId="49" fillId="2" borderId="0" xfId="1" applyFont="1" applyFill="1" applyAlignment="1">
      <alignment wrapText="1"/>
    </xf>
    <xf numFmtId="0" fontId="49" fillId="2" borderId="0" xfId="0" applyFont="1" applyFill="1"/>
    <xf numFmtId="0" fontId="48" fillId="16" borderId="0" xfId="0" applyFont="1" applyFill="1" applyAlignment="1">
      <alignment wrapText="1"/>
    </xf>
    <xf numFmtId="0" fontId="48" fillId="0" borderId="0" xfId="0" applyFont="1" applyAlignment="1">
      <alignment wrapText="1"/>
    </xf>
    <xf numFmtId="168" fontId="48" fillId="0" borderId="0" xfId="1" applyNumberFormat="1" applyFont="1" applyFill="1" applyAlignment="1">
      <alignment horizontal="left" wrapText="1"/>
    </xf>
    <xf numFmtId="0" fontId="49" fillId="0" borderId="0" xfId="0" applyFont="1" applyAlignment="1">
      <alignment wrapText="1"/>
    </xf>
    <xf numFmtId="0" fontId="48" fillId="2" borderId="0" xfId="0" applyFont="1" applyFill="1" applyAlignment="1">
      <alignment wrapText="1"/>
    </xf>
    <xf numFmtId="168" fontId="49" fillId="0" borderId="0" xfId="0" applyNumberFormat="1" applyFont="1" applyAlignment="1">
      <alignment wrapText="1"/>
    </xf>
    <xf numFmtId="0" fontId="50" fillId="2" borderId="3" xfId="0" applyFont="1" applyFill="1" applyBorder="1" applyAlignment="1">
      <alignment horizontal="center" wrapText="1"/>
    </xf>
    <xf numFmtId="0" fontId="50" fillId="2" borderId="2" xfId="0" applyFont="1" applyFill="1" applyBorder="1" applyAlignment="1">
      <alignment horizontal="center" wrapText="1"/>
    </xf>
    <xf numFmtId="0" fontId="50" fillId="2" borderId="5" xfId="0" applyFont="1" applyFill="1" applyBorder="1" applyAlignment="1">
      <alignment horizontal="center" wrapText="1"/>
    </xf>
    <xf numFmtId="168" fontId="50" fillId="2" borderId="3" xfId="1" applyNumberFormat="1" applyFont="1" applyFill="1" applyBorder="1" applyAlignment="1">
      <alignment horizontal="center" wrapText="1"/>
    </xf>
    <xf numFmtId="168" fontId="50" fillId="2" borderId="2" xfId="1" applyNumberFormat="1" applyFont="1" applyFill="1" applyBorder="1" applyAlignment="1">
      <alignment horizontal="center" wrapText="1"/>
    </xf>
    <xf numFmtId="168" fontId="50" fillId="2" borderId="5" xfId="1" applyNumberFormat="1" applyFont="1" applyFill="1" applyBorder="1" applyAlignment="1">
      <alignment horizontal="center" wrapText="1"/>
    </xf>
    <xf numFmtId="43" fontId="50" fillId="2" borderId="3" xfId="1" applyFont="1" applyFill="1" applyBorder="1" applyAlignment="1">
      <alignment horizontal="center" wrapText="1"/>
    </xf>
    <xf numFmtId="43" fontId="50" fillId="2" borderId="2" xfId="1" applyFont="1" applyFill="1" applyBorder="1" applyAlignment="1">
      <alignment horizontal="center" wrapText="1"/>
    </xf>
    <xf numFmtId="43" fontId="50" fillId="2" borderId="5" xfId="1" applyFont="1" applyFill="1" applyBorder="1" applyAlignment="1">
      <alignment horizontal="center" wrapText="1"/>
    </xf>
    <xf numFmtId="0" fontId="49" fillId="0" borderId="0" xfId="958" applyNumberFormat="1" applyFont="1" applyFill="1" applyBorder="1" applyAlignment="1">
      <alignment horizontal="center" wrapText="1"/>
    </xf>
    <xf numFmtId="168" fontId="49" fillId="0" borderId="0" xfId="1" applyNumberFormat="1" applyFont="1" applyFill="1" applyAlignment="1">
      <alignment wrapText="1"/>
    </xf>
    <xf numFmtId="168" fontId="49" fillId="0" borderId="0" xfId="1" applyNumberFormat="1" applyFont="1" applyFill="1" applyBorder="1" applyAlignment="1">
      <alignment horizontal="center" wrapText="1"/>
    </xf>
    <xf numFmtId="168" fontId="51" fillId="16" borderId="0" xfId="1" applyNumberFormat="1" applyFont="1" applyFill="1" applyBorder="1" applyAlignment="1">
      <alignment horizontal="center" wrapText="1"/>
    </xf>
    <xf numFmtId="43" fontId="49" fillId="0" borderId="0" xfId="1" applyFont="1" applyFill="1" applyAlignment="1">
      <alignment wrapText="1"/>
    </xf>
    <xf numFmtId="43" fontId="49" fillId="0" borderId="0" xfId="1" applyFont="1" applyFill="1" applyBorder="1" applyAlignment="1">
      <alignment horizontal="center" wrapText="1"/>
    </xf>
    <xf numFmtId="43" fontId="49" fillId="16" borderId="0" xfId="1" applyFont="1" applyFill="1" applyBorder="1" applyAlignment="1">
      <alignment horizontal="center" wrapText="1"/>
    </xf>
    <xf numFmtId="0" fontId="48" fillId="2" borderId="20" xfId="0" applyFont="1" applyFill="1" applyBorder="1" applyAlignment="1">
      <alignment horizontal="center" vertical="center" wrapText="1"/>
    </xf>
    <xf numFmtId="0" fontId="48" fillId="26" borderId="6" xfId="0" applyFont="1" applyFill="1" applyBorder="1" applyAlignment="1">
      <alignment horizontal="center" vertical="top" wrapText="1"/>
    </xf>
    <xf numFmtId="0" fontId="48" fillId="26" borderId="7" xfId="0" applyFont="1" applyFill="1" applyBorder="1" applyAlignment="1">
      <alignment horizontal="center" vertical="center" wrapText="1"/>
    </xf>
    <xf numFmtId="168" fontId="48" fillId="26" borderId="7" xfId="1" applyNumberFormat="1" applyFont="1" applyFill="1" applyBorder="1" applyAlignment="1">
      <alignment horizontal="center" vertical="center" wrapText="1"/>
    </xf>
    <xf numFmtId="0" fontId="48" fillId="0" borderId="7" xfId="0" applyFont="1" applyBorder="1" applyAlignment="1">
      <alignment horizontal="center" vertical="center" wrapText="1"/>
    </xf>
    <xf numFmtId="0" fontId="48" fillId="26" borderId="39" xfId="0" applyFont="1" applyFill="1" applyBorder="1" applyAlignment="1">
      <alignment horizontal="center" vertical="center" wrapText="1"/>
    </xf>
    <xf numFmtId="0" fontId="49" fillId="15" borderId="8" xfId="0" applyFont="1" applyFill="1" applyBorder="1" applyAlignment="1">
      <alignment horizontal="center" wrapText="1"/>
    </xf>
    <xf numFmtId="0" fontId="48" fillId="26" borderId="6" xfId="0" applyFont="1" applyFill="1" applyBorder="1" applyAlignment="1">
      <alignment horizontal="center" vertical="center" wrapText="1"/>
    </xf>
    <xf numFmtId="0" fontId="48" fillId="26" borderId="9" xfId="0" applyFont="1" applyFill="1" applyBorder="1" applyAlignment="1">
      <alignment horizontal="center" vertical="center" wrapText="1"/>
    </xf>
    <xf numFmtId="0" fontId="48" fillId="26" borderId="17" xfId="0" applyFont="1" applyFill="1" applyBorder="1" applyAlignment="1">
      <alignment horizontal="center" vertical="center" wrapText="1"/>
    </xf>
    <xf numFmtId="168" fontId="48" fillId="26" borderId="9" xfId="1" applyNumberFormat="1" applyFont="1" applyFill="1" applyBorder="1" applyAlignment="1">
      <alignment horizontal="center" vertical="center" wrapText="1"/>
    </xf>
    <xf numFmtId="168" fontId="48" fillId="26" borderId="17" xfId="1" applyNumberFormat="1" applyFont="1" applyFill="1" applyBorder="1" applyAlignment="1">
      <alignment horizontal="center" vertical="center" wrapText="1"/>
    </xf>
    <xf numFmtId="43" fontId="48" fillId="26" borderId="9" xfId="1" applyFont="1" applyFill="1" applyBorder="1" applyAlignment="1">
      <alignment horizontal="center" vertical="center" wrapText="1"/>
    </xf>
    <xf numFmtId="43" fontId="48" fillId="26" borderId="7" xfId="1" applyFont="1" applyFill="1" applyBorder="1" applyAlignment="1">
      <alignment horizontal="center" vertical="center" wrapText="1"/>
    </xf>
    <xf numFmtId="43" fontId="48" fillId="26" borderId="8" xfId="1" applyFont="1" applyFill="1" applyBorder="1" applyAlignment="1">
      <alignment horizontal="center" vertical="center" wrapText="1"/>
    </xf>
    <xf numFmtId="0" fontId="48" fillId="2" borderId="21" xfId="0" applyFont="1" applyFill="1" applyBorder="1" applyAlignment="1">
      <alignment horizontal="center" vertical="center" wrapText="1"/>
    </xf>
    <xf numFmtId="0" fontId="48" fillId="26" borderId="35" xfId="0" applyFont="1" applyFill="1" applyBorder="1" applyAlignment="1">
      <alignment horizontal="center" vertical="top" wrapText="1"/>
    </xf>
    <xf numFmtId="0" fontId="48" fillId="26" borderId="30" xfId="0" applyFont="1" applyFill="1" applyBorder="1" applyAlignment="1">
      <alignment horizontal="center" vertical="center" wrapText="1"/>
    </xf>
    <xf numFmtId="168" fontId="48" fillId="26" borderId="30" xfId="1" applyNumberFormat="1" applyFont="1" applyFill="1" applyBorder="1" applyAlignment="1">
      <alignment horizontal="center" vertical="center" wrapText="1"/>
    </xf>
    <xf numFmtId="0" fontId="48" fillId="0" borderId="30" xfId="0" applyFont="1" applyBorder="1" applyAlignment="1">
      <alignment horizontal="center" vertical="center" wrapText="1"/>
    </xf>
    <xf numFmtId="0" fontId="48" fillId="26" borderId="32" xfId="0" applyFont="1" applyFill="1" applyBorder="1" applyAlignment="1">
      <alignment horizontal="center" vertical="center" wrapText="1"/>
    </xf>
    <xf numFmtId="0" fontId="49" fillId="0" borderId="23" xfId="0" applyFont="1" applyBorder="1" applyAlignment="1">
      <alignment horizontal="left" vertical="top" wrapText="1"/>
    </xf>
    <xf numFmtId="0" fontId="48" fillId="26" borderId="35" xfId="0" applyFont="1" applyFill="1" applyBorder="1" applyAlignment="1">
      <alignment horizontal="center" vertical="center" wrapText="1"/>
    </xf>
    <xf numFmtId="0" fontId="48" fillId="26" borderId="29" xfId="0" applyFont="1" applyFill="1" applyBorder="1" applyAlignment="1">
      <alignment horizontal="center" vertical="center" wrapText="1"/>
    </xf>
    <xf numFmtId="0" fontId="48" fillId="26" borderId="38" xfId="0" applyFont="1" applyFill="1" applyBorder="1" applyAlignment="1">
      <alignment horizontal="center" vertical="center" wrapText="1"/>
    </xf>
    <xf numFmtId="168" fontId="48" fillId="26" borderId="29" xfId="1" applyNumberFormat="1" applyFont="1" applyFill="1" applyBorder="1" applyAlignment="1">
      <alignment horizontal="center" vertical="center" wrapText="1"/>
    </xf>
    <xf numFmtId="168" fontId="48" fillId="26" borderId="38" xfId="1" applyNumberFormat="1" applyFont="1" applyFill="1" applyBorder="1" applyAlignment="1">
      <alignment horizontal="center" vertical="center" wrapText="1"/>
    </xf>
    <xf numFmtId="43" fontId="48" fillId="26" borderId="29" xfId="1" applyFont="1" applyFill="1" applyBorder="1" applyAlignment="1">
      <alignment horizontal="center" vertical="center" wrapText="1"/>
    </xf>
    <xf numFmtId="43" fontId="48" fillId="26" borderId="30" xfId="1" applyFont="1" applyFill="1" applyBorder="1" applyAlignment="1">
      <alignment horizontal="center" vertical="center" wrapText="1"/>
    </xf>
    <xf numFmtId="43" fontId="48" fillId="26" borderId="23" xfId="1" applyFont="1" applyFill="1" applyBorder="1" applyAlignment="1">
      <alignment horizontal="center" vertical="center" wrapText="1"/>
    </xf>
    <xf numFmtId="0" fontId="48" fillId="3" borderId="35" xfId="0" applyFont="1" applyFill="1" applyBorder="1" applyAlignment="1">
      <alignment wrapText="1"/>
    </xf>
    <xf numFmtId="0" fontId="48" fillId="3" borderId="30" xfId="0" applyFont="1" applyFill="1" applyBorder="1" applyAlignment="1">
      <alignment wrapText="1"/>
    </xf>
    <xf numFmtId="168" fontId="48" fillId="3" borderId="30" xfId="1" applyNumberFormat="1" applyFont="1" applyFill="1" applyBorder="1" applyAlignment="1">
      <alignment wrapText="1"/>
    </xf>
    <xf numFmtId="0" fontId="48" fillId="3" borderId="38" xfId="0" applyFont="1" applyFill="1" applyBorder="1" applyAlignment="1">
      <alignment wrapText="1"/>
    </xf>
    <xf numFmtId="0" fontId="48" fillId="3" borderId="23" xfId="0" applyFont="1" applyFill="1" applyBorder="1" applyAlignment="1">
      <alignment wrapText="1"/>
    </xf>
    <xf numFmtId="0" fontId="49" fillId="3" borderId="35" xfId="15" applyNumberFormat="1" applyFont="1" applyFill="1" applyBorder="1" applyAlignment="1">
      <alignment horizontal="right" vertical="top" wrapText="1"/>
    </xf>
    <xf numFmtId="0" fontId="49" fillId="3" borderId="29" xfId="15" applyNumberFormat="1" applyFont="1" applyFill="1" applyBorder="1" applyAlignment="1">
      <alignment horizontal="right" vertical="top" wrapText="1"/>
    </xf>
    <xf numFmtId="0" fontId="49" fillId="3" borderId="30" xfId="15" applyNumberFormat="1" applyFont="1" applyFill="1" applyBorder="1" applyAlignment="1">
      <alignment horizontal="right" vertical="top" wrapText="1"/>
    </xf>
    <xf numFmtId="0" fontId="49" fillId="3" borderId="38" xfId="15" applyNumberFormat="1" applyFont="1" applyFill="1" applyBorder="1" applyAlignment="1">
      <alignment horizontal="right" vertical="top" wrapText="1"/>
    </xf>
    <xf numFmtId="168" fontId="49" fillId="3" borderId="29" xfId="1" applyNumberFormat="1" applyFont="1" applyFill="1" applyBorder="1" applyAlignment="1">
      <alignment horizontal="right" vertical="top" wrapText="1"/>
    </xf>
    <xf numFmtId="168" fontId="49" fillId="3" borderId="30" xfId="1" applyNumberFormat="1" applyFont="1" applyFill="1" applyBorder="1" applyAlignment="1">
      <alignment horizontal="right" vertical="top" wrapText="1"/>
    </xf>
    <xf numFmtId="168" fontId="49" fillId="3" borderId="38" xfId="1" applyNumberFormat="1" applyFont="1" applyFill="1" applyBorder="1" applyAlignment="1">
      <alignment horizontal="right" vertical="top" wrapText="1"/>
    </xf>
    <xf numFmtId="43" fontId="49" fillId="3" borderId="29" xfId="1" applyFont="1" applyFill="1" applyBorder="1" applyAlignment="1">
      <alignment horizontal="left" vertical="top" wrapText="1"/>
    </xf>
    <xf numFmtId="43" fontId="49" fillId="3" borderId="30" xfId="1" applyFont="1" applyFill="1" applyBorder="1" applyAlignment="1">
      <alignment horizontal="left" vertical="top" wrapText="1"/>
    </xf>
    <xf numFmtId="43" fontId="49" fillId="3" borderId="23" xfId="1" applyFont="1" applyFill="1" applyBorder="1" applyAlignment="1">
      <alignment horizontal="left" vertical="top" wrapText="1"/>
    </xf>
    <xf numFmtId="0" fontId="48" fillId="17" borderId="35" xfId="0" applyFont="1" applyFill="1" applyBorder="1" applyAlignment="1">
      <alignment wrapText="1"/>
    </xf>
    <xf numFmtId="0" fontId="48" fillId="17" borderId="30" xfId="0" applyFont="1" applyFill="1" applyBorder="1" applyAlignment="1">
      <alignment wrapText="1"/>
    </xf>
    <xf numFmtId="168" fontId="48" fillId="17" borderId="30" xfId="1" applyNumberFormat="1" applyFont="1" applyFill="1" applyBorder="1" applyAlignment="1">
      <alignment wrapText="1"/>
    </xf>
    <xf numFmtId="0" fontId="48" fillId="17" borderId="38" xfId="0" applyFont="1" applyFill="1" applyBorder="1" applyAlignment="1">
      <alignment wrapText="1"/>
    </xf>
    <xf numFmtId="0" fontId="48" fillId="17" borderId="23" xfId="0" applyFont="1" applyFill="1" applyBorder="1" applyAlignment="1">
      <alignment wrapText="1"/>
    </xf>
    <xf numFmtId="49" fontId="50" fillId="19" borderId="30" xfId="0" applyNumberFormat="1" applyFont="1" applyFill="1" applyBorder="1" applyAlignment="1">
      <alignment horizontal="center" vertical="center" wrapText="1"/>
    </xf>
    <xf numFmtId="43" fontId="49" fillId="3" borderId="29" xfId="1" applyFont="1" applyFill="1" applyBorder="1" applyAlignment="1">
      <alignment horizontal="right" vertical="top" wrapText="1"/>
    </xf>
    <xf numFmtId="43" fontId="49" fillId="3" borderId="30" xfId="1" applyFont="1" applyFill="1" applyBorder="1" applyAlignment="1">
      <alignment horizontal="right" vertical="top" wrapText="1"/>
    </xf>
    <xf numFmtId="43" fontId="49" fillId="3" borderId="23" xfId="1" applyFont="1" applyFill="1" applyBorder="1" applyAlignment="1">
      <alignment horizontal="right" vertical="top" wrapText="1"/>
    </xf>
    <xf numFmtId="43" fontId="49" fillId="0" borderId="35" xfId="0" applyNumberFormat="1" applyFont="1" applyBorder="1" applyAlignment="1">
      <alignment wrapText="1"/>
    </xf>
    <xf numFmtId="0" fontId="49" fillId="2" borderId="30" xfId="1" applyNumberFormat="1" applyFont="1" applyFill="1" applyBorder="1" applyAlignment="1">
      <alignment wrapText="1"/>
    </xf>
    <xf numFmtId="168" fontId="49" fillId="2" borderId="30" xfId="1" applyNumberFormat="1" applyFont="1" applyFill="1" applyBorder="1" applyAlignment="1">
      <alignment wrapText="1"/>
    </xf>
    <xf numFmtId="43" fontId="49" fillId="26" borderId="30" xfId="1" applyFont="1" applyFill="1" applyBorder="1" applyAlignment="1">
      <alignment wrapText="1"/>
    </xf>
    <xf numFmtId="0" fontId="49" fillId="2" borderId="38" xfId="0" applyFont="1" applyFill="1" applyBorder="1" applyAlignment="1">
      <alignment wrapText="1"/>
    </xf>
    <xf numFmtId="168" fontId="49" fillId="0" borderId="23" xfId="0" applyNumberFormat="1" applyFont="1" applyBorder="1" applyAlignment="1">
      <alignment wrapText="1"/>
    </xf>
    <xf numFmtId="168" fontId="49" fillId="26" borderId="35" xfId="1" applyNumberFormat="1" applyFont="1" applyFill="1" applyBorder="1" applyAlignment="1">
      <alignment horizontal="right" wrapText="1"/>
    </xf>
    <xf numFmtId="168" fontId="49" fillId="26" borderId="30" xfId="1" applyNumberFormat="1" applyFont="1" applyFill="1" applyBorder="1" applyAlignment="1">
      <alignment horizontal="right" wrapText="1"/>
    </xf>
    <xf numFmtId="168" fontId="49" fillId="26" borderId="38" xfId="1" applyNumberFormat="1" applyFont="1" applyFill="1" applyBorder="1" applyAlignment="1">
      <alignment horizontal="right" wrapText="1"/>
    </xf>
    <xf numFmtId="168" fontId="49" fillId="0" borderId="0" xfId="0" applyNumberFormat="1" applyFont="1"/>
    <xf numFmtId="168" fontId="49" fillId="26" borderId="29" xfId="1" applyNumberFormat="1" applyFont="1" applyFill="1" applyBorder="1" applyAlignment="1">
      <alignment horizontal="right" wrapText="1"/>
    </xf>
    <xf numFmtId="43" fontId="49" fillId="26" borderId="29" xfId="1" applyFont="1" applyFill="1" applyBorder="1" applyAlignment="1">
      <alignment horizontal="right" wrapText="1"/>
    </xf>
    <xf numFmtId="43" fontId="49" fillId="26" borderId="35" xfId="1" applyFont="1" applyFill="1" applyBorder="1" applyAlignment="1">
      <alignment horizontal="right" wrapText="1"/>
    </xf>
    <xf numFmtId="43" fontId="49" fillId="26" borderId="23" xfId="1" applyFont="1" applyFill="1" applyBorder="1" applyAlignment="1">
      <alignment horizontal="right" wrapText="1"/>
    </xf>
    <xf numFmtId="168" fontId="48" fillId="17" borderId="38" xfId="1" applyNumberFormat="1" applyFont="1" applyFill="1" applyBorder="1" applyAlignment="1">
      <alignment wrapText="1"/>
    </xf>
    <xf numFmtId="168" fontId="49" fillId="26" borderId="30" xfId="1" applyNumberFormat="1" applyFont="1" applyFill="1" applyBorder="1" applyAlignment="1">
      <alignment wrapText="1"/>
    </xf>
    <xf numFmtId="43" fontId="49" fillId="0" borderId="0" xfId="0" applyNumberFormat="1" applyFont="1"/>
    <xf numFmtId="168" fontId="49" fillId="26" borderId="0" xfId="1" applyNumberFormat="1" applyFont="1" applyFill="1" applyBorder="1" applyAlignment="1">
      <alignment wrapText="1"/>
    </xf>
    <xf numFmtId="0" fontId="49" fillId="2" borderId="35" xfId="0" applyFont="1" applyFill="1" applyBorder="1" applyAlignment="1">
      <alignment wrapText="1"/>
    </xf>
    <xf numFmtId="43" fontId="49" fillId="0" borderId="23" xfId="0" applyNumberFormat="1" applyFont="1" applyBorder="1" applyAlignment="1">
      <alignment wrapText="1"/>
    </xf>
    <xf numFmtId="168" fontId="48" fillId="17" borderId="23" xfId="0" applyNumberFormat="1" applyFont="1" applyFill="1" applyBorder="1" applyAlignment="1">
      <alignment wrapText="1"/>
    </xf>
    <xf numFmtId="0" fontId="48" fillId="17" borderId="35" xfId="0" applyFont="1" applyFill="1" applyBorder="1" applyAlignment="1">
      <alignment horizontal="right" wrapText="1"/>
    </xf>
    <xf numFmtId="0" fontId="48" fillId="17" borderId="30" xfId="0" applyFont="1" applyFill="1" applyBorder="1" applyAlignment="1">
      <alignment horizontal="right" wrapText="1"/>
    </xf>
    <xf numFmtId="0" fontId="48" fillId="17" borderId="38" xfId="0" applyFont="1" applyFill="1" applyBorder="1" applyAlignment="1">
      <alignment horizontal="right" wrapText="1"/>
    </xf>
    <xf numFmtId="168" fontId="48" fillId="17" borderId="29" xfId="1" applyNumberFormat="1" applyFont="1" applyFill="1" applyBorder="1" applyAlignment="1">
      <alignment horizontal="right" wrapText="1"/>
    </xf>
    <xf numFmtId="168" fontId="48" fillId="17" borderId="30" xfId="1" applyNumberFormat="1" applyFont="1" applyFill="1" applyBorder="1" applyAlignment="1">
      <alignment horizontal="right" wrapText="1"/>
    </xf>
    <xf numFmtId="168" fontId="48" fillId="17" borderId="38" xfId="1" applyNumberFormat="1" applyFont="1" applyFill="1" applyBorder="1" applyAlignment="1">
      <alignment horizontal="right" wrapText="1"/>
    </xf>
    <xf numFmtId="43" fontId="48" fillId="17" borderId="29" xfId="1" applyFont="1" applyFill="1" applyBorder="1" applyAlignment="1">
      <alignment horizontal="right" wrapText="1"/>
    </xf>
    <xf numFmtId="43" fontId="48" fillId="17" borderId="30" xfId="1" applyFont="1" applyFill="1" applyBorder="1" applyAlignment="1">
      <alignment horizontal="right" wrapText="1"/>
    </xf>
    <xf numFmtId="43" fontId="48" fillId="17" borderId="23" xfId="1" applyFont="1" applyFill="1" applyBorder="1" applyAlignment="1">
      <alignment horizontal="right" wrapText="1"/>
    </xf>
    <xf numFmtId="9" fontId="48" fillId="3" borderId="23" xfId="958" applyFont="1" applyFill="1" applyBorder="1" applyAlignment="1">
      <alignment wrapText="1"/>
    </xf>
    <xf numFmtId="0" fontId="48" fillId="0" borderId="0" xfId="0" applyFont="1"/>
    <xf numFmtId="0" fontId="49" fillId="0" borderId="23" xfId="15" applyNumberFormat="1" applyFont="1" applyFill="1" applyBorder="1" applyAlignment="1">
      <alignment horizontal="left" vertical="top" wrapText="1"/>
    </xf>
    <xf numFmtId="0" fontId="49" fillId="26" borderId="35" xfId="1" applyNumberFormat="1" applyFont="1" applyFill="1" applyBorder="1" applyAlignment="1">
      <alignment horizontal="right" wrapText="1"/>
    </xf>
    <xf numFmtId="0" fontId="49" fillId="26" borderId="30" xfId="1" applyNumberFormat="1" applyFont="1" applyFill="1" applyBorder="1" applyAlignment="1">
      <alignment horizontal="right" wrapText="1"/>
    </xf>
    <xf numFmtId="0" fontId="49" fillId="26" borderId="38" xfId="1" applyNumberFormat="1" applyFont="1" applyFill="1" applyBorder="1" applyAlignment="1">
      <alignment horizontal="right" wrapText="1"/>
    </xf>
    <xf numFmtId="43" fontId="49" fillId="26" borderId="30" xfId="1" applyFont="1" applyFill="1" applyBorder="1" applyAlignment="1">
      <alignment horizontal="right" wrapText="1"/>
    </xf>
    <xf numFmtId="0" fontId="48" fillId="3" borderId="35" xfId="0" applyFont="1" applyFill="1" applyBorder="1" applyAlignment="1">
      <alignment horizontal="right" wrapText="1"/>
    </xf>
    <xf numFmtId="0" fontId="48" fillId="3" borderId="30" xfId="0" applyFont="1" applyFill="1" applyBorder="1" applyAlignment="1">
      <alignment horizontal="right" wrapText="1"/>
    </xf>
    <xf numFmtId="0" fontId="48" fillId="3" borderId="38" xfId="0" applyFont="1" applyFill="1" applyBorder="1" applyAlignment="1">
      <alignment horizontal="right" wrapText="1"/>
    </xf>
    <xf numFmtId="168" fontId="48" fillId="3" borderId="29" xfId="1" applyNumberFormat="1" applyFont="1" applyFill="1" applyBorder="1" applyAlignment="1">
      <alignment horizontal="right" wrapText="1"/>
    </xf>
    <xf numFmtId="168" fontId="48" fillId="3" borderId="30" xfId="1" applyNumberFormat="1" applyFont="1" applyFill="1" applyBorder="1" applyAlignment="1">
      <alignment horizontal="right" wrapText="1"/>
    </xf>
    <xf numFmtId="168" fontId="48" fillId="3" borderId="38" xfId="1" applyNumberFormat="1" applyFont="1" applyFill="1" applyBorder="1" applyAlignment="1">
      <alignment horizontal="right" wrapText="1"/>
    </xf>
    <xf numFmtId="43" fontId="48" fillId="3" borderId="29" xfId="1" applyFont="1" applyFill="1" applyBorder="1" applyAlignment="1">
      <alignment horizontal="right" wrapText="1"/>
    </xf>
    <xf numFmtId="43" fontId="48" fillId="3" borderId="30" xfId="1" applyFont="1" applyFill="1" applyBorder="1" applyAlignment="1">
      <alignment horizontal="right" wrapText="1"/>
    </xf>
    <xf numFmtId="43" fontId="48" fillId="3" borderId="23" xfId="1" applyFont="1" applyFill="1" applyBorder="1" applyAlignment="1">
      <alignment horizontal="right" wrapText="1"/>
    </xf>
    <xf numFmtId="0" fontId="49" fillId="0" borderId="35" xfId="0" applyFont="1" applyBorder="1" applyAlignment="1">
      <alignment wrapText="1"/>
    </xf>
    <xf numFmtId="0" fontId="48" fillId="3" borderId="23" xfId="1" applyNumberFormat="1" applyFont="1" applyFill="1" applyBorder="1" applyAlignment="1">
      <alignment wrapText="1"/>
    </xf>
    <xf numFmtId="0" fontId="48" fillId="0" borderId="0" xfId="1" applyNumberFormat="1" applyFont="1" applyFill="1" applyBorder="1" applyAlignment="1">
      <alignment wrapText="1"/>
    </xf>
    <xf numFmtId="0" fontId="48" fillId="0" borderId="35" xfId="0" applyFont="1" applyBorder="1" applyAlignment="1">
      <alignment wrapText="1"/>
    </xf>
    <xf numFmtId="0" fontId="48" fillId="0" borderId="30" xfId="0" applyFont="1" applyBorder="1" applyAlignment="1">
      <alignment wrapText="1"/>
    </xf>
    <xf numFmtId="168" fontId="48" fillId="0" borderId="30" xfId="1" applyNumberFormat="1" applyFont="1" applyFill="1" applyBorder="1" applyAlignment="1">
      <alignment wrapText="1"/>
    </xf>
    <xf numFmtId="168" fontId="48" fillId="26" borderId="30" xfId="1" applyNumberFormat="1" applyFont="1" applyFill="1" applyBorder="1" applyAlignment="1">
      <alignment wrapText="1"/>
    </xf>
    <xf numFmtId="0" fontId="48" fillId="0" borderId="23" xfId="15" applyNumberFormat="1" applyFont="1" applyFill="1" applyBorder="1" applyAlignment="1">
      <alignment horizontal="left" vertical="top" wrapText="1"/>
    </xf>
    <xf numFmtId="0" fontId="48" fillId="26" borderId="35" xfId="0" applyFont="1" applyFill="1" applyBorder="1" applyAlignment="1">
      <alignment horizontal="right" wrapText="1"/>
    </xf>
    <xf numFmtId="0" fontId="48" fillId="26" borderId="30" xfId="0" applyFont="1" applyFill="1" applyBorder="1" applyAlignment="1">
      <alignment horizontal="right" wrapText="1"/>
    </xf>
    <xf numFmtId="0" fontId="48" fillId="26" borderId="38" xfId="0" applyFont="1" applyFill="1" applyBorder="1" applyAlignment="1">
      <alignment horizontal="right" wrapText="1"/>
    </xf>
    <xf numFmtId="168" fontId="48" fillId="26" borderId="29" xfId="1" applyNumberFormat="1" applyFont="1" applyFill="1" applyBorder="1" applyAlignment="1">
      <alignment horizontal="right" wrapText="1"/>
    </xf>
    <xf numFmtId="168" fontId="48" fillId="26" borderId="30" xfId="1" applyNumberFormat="1" applyFont="1" applyFill="1" applyBorder="1" applyAlignment="1">
      <alignment horizontal="right" wrapText="1"/>
    </xf>
    <xf numFmtId="168" fontId="48" fillId="26" borderId="38" xfId="1" applyNumberFormat="1" applyFont="1" applyFill="1" applyBorder="1" applyAlignment="1">
      <alignment horizontal="right" wrapText="1"/>
    </xf>
    <xf numFmtId="43" fontId="48" fillId="26" borderId="29" xfId="1" applyFont="1" applyFill="1" applyBorder="1" applyAlignment="1">
      <alignment horizontal="right" wrapText="1"/>
    </xf>
    <xf numFmtId="43" fontId="48" fillId="26" borderId="30" xfId="1" applyFont="1" applyFill="1" applyBorder="1" applyAlignment="1">
      <alignment horizontal="right" wrapText="1"/>
    </xf>
    <xf numFmtId="43" fontId="48" fillId="26" borderId="23" xfId="1" applyFont="1" applyFill="1" applyBorder="1" applyAlignment="1">
      <alignment horizontal="right" wrapText="1"/>
    </xf>
    <xf numFmtId="0" fontId="48" fillId="3" borderId="30" xfId="1" applyNumberFormat="1" applyFont="1" applyFill="1" applyBorder="1" applyAlignment="1">
      <alignment wrapText="1"/>
    </xf>
    <xf numFmtId="168" fontId="48" fillId="17" borderId="35" xfId="0" applyNumberFormat="1" applyFont="1" applyFill="1" applyBorder="1" applyAlignment="1">
      <alignment horizontal="right" wrapText="1"/>
    </xf>
    <xf numFmtId="0" fontId="51" fillId="0" borderId="44" xfId="0" applyFont="1" applyBorder="1" applyAlignment="1">
      <alignment horizontal="left" vertical="center" wrapText="1"/>
    </xf>
    <xf numFmtId="3" fontId="49" fillId="0" borderId="30" xfId="0" applyNumberFormat="1" applyFont="1" applyBorder="1" applyAlignment="1">
      <alignment wrapText="1"/>
    </xf>
    <xf numFmtId="0" fontId="49" fillId="0" borderId="30" xfId="0" applyFont="1" applyBorder="1" applyAlignment="1">
      <alignment wrapText="1"/>
    </xf>
    <xf numFmtId="0" fontId="49" fillId="0" borderId="34" xfId="0" applyFont="1" applyBorder="1" applyAlignment="1">
      <alignment horizontal="left" wrapText="1"/>
    </xf>
    <xf numFmtId="0" fontId="49" fillId="0" borderId="30" xfId="1" applyNumberFormat="1" applyFont="1" applyFill="1" applyBorder="1" applyAlignment="1">
      <alignment wrapText="1"/>
    </xf>
    <xf numFmtId="168" fontId="49" fillId="0" borderId="30" xfId="1" applyNumberFormat="1" applyFont="1" applyFill="1" applyBorder="1" applyAlignment="1">
      <alignment wrapText="1"/>
    </xf>
    <xf numFmtId="0" fontId="49" fillId="0" borderId="38" xfId="0" applyFont="1" applyBorder="1" applyAlignment="1">
      <alignment wrapText="1"/>
    </xf>
    <xf numFmtId="0" fontId="51" fillId="0" borderId="35" xfId="0" applyFont="1" applyBorder="1" applyAlignment="1">
      <alignment horizontal="left" vertical="center" wrapText="1"/>
    </xf>
    <xf numFmtId="0" fontId="51" fillId="0" borderId="30" xfId="0" applyFont="1" applyBorder="1" applyAlignment="1">
      <alignment horizontal="left" vertical="center" wrapText="1"/>
    </xf>
    <xf numFmtId="49" fontId="50" fillId="16" borderId="30" xfId="0" applyNumberFormat="1" applyFont="1" applyFill="1" applyBorder="1" applyAlignment="1">
      <alignment horizontal="center" vertical="center" wrapText="1"/>
    </xf>
    <xf numFmtId="168" fontId="49" fillId="16" borderId="30" xfId="1" applyNumberFormat="1" applyFont="1" applyFill="1" applyBorder="1" applyAlignment="1">
      <alignment horizontal="right" wrapText="1"/>
    </xf>
    <xf numFmtId="168" fontId="49" fillId="16" borderId="38" xfId="1" applyNumberFormat="1" applyFont="1" applyFill="1" applyBorder="1" applyAlignment="1">
      <alignment horizontal="right" wrapText="1"/>
    </xf>
    <xf numFmtId="168" fontId="49" fillId="16" borderId="0" xfId="0" applyNumberFormat="1" applyFont="1" applyFill="1"/>
    <xf numFmtId="168" fontId="49" fillId="16" borderId="29" xfId="1" applyNumberFormat="1" applyFont="1" applyFill="1" applyBorder="1" applyAlignment="1">
      <alignment horizontal="right" wrapText="1"/>
    </xf>
    <xf numFmtId="0" fontId="49" fillId="16" borderId="0" xfId="0" applyFont="1" applyFill="1"/>
    <xf numFmtId="43" fontId="49" fillId="16" borderId="29" xfId="1" applyFont="1" applyFill="1" applyBorder="1" applyAlignment="1">
      <alignment horizontal="right" wrapText="1"/>
    </xf>
    <xf numFmtId="43" fontId="49" fillId="16" borderId="23" xfId="1" applyFont="1" applyFill="1" applyBorder="1" applyAlignment="1">
      <alignment horizontal="right" wrapText="1"/>
    </xf>
    <xf numFmtId="43" fontId="49" fillId="16" borderId="0" xfId="0" applyNumberFormat="1" applyFont="1" applyFill="1"/>
    <xf numFmtId="0" fontId="48" fillId="27" borderId="23" xfId="1" applyNumberFormat="1" applyFont="1" applyFill="1" applyBorder="1" applyAlignment="1">
      <alignment wrapText="1"/>
    </xf>
    <xf numFmtId="43" fontId="48" fillId="3" borderId="29" xfId="1" applyFont="1" applyFill="1" applyBorder="1" applyAlignment="1">
      <alignment wrapText="1"/>
    </xf>
    <xf numFmtId="43" fontId="48" fillId="3" borderId="30" xfId="1" applyFont="1" applyFill="1" applyBorder="1" applyAlignment="1">
      <alignment wrapText="1"/>
    </xf>
    <xf numFmtId="43" fontId="48" fillId="3" borderId="23" xfId="1" applyFont="1" applyFill="1" applyBorder="1" applyAlignment="1">
      <alignment wrapText="1"/>
    </xf>
    <xf numFmtId="9" fontId="48" fillId="17" borderId="23" xfId="958" applyFont="1" applyFill="1" applyBorder="1" applyAlignment="1">
      <alignment wrapText="1"/>
    </xf>
    <xf numFmtId="0" fontId="49" fillId="0" borderId="35" xfId="14" applyNumberFormat="1" applyFont="1" applyFill="1" applyBorder="1" applyAlignment="1">
      <alignment vertical="center" wrapText="1"/>
    </xf>
    <xf numFmtId="0" fontId="49" fillId="0" borderId="35" xfId="14" applyNumberFormat="1" applyFont="1" applyFill="1" applyBorder="1" applyAlignment="1">
      <alignment horizontal="left" wrapText="1"/>
    </xf>
    <xf numFmtId="168" fontId="49" fillId="0" borderId="35" xfId="1" applyNumberFormat="1" applyFont="1" applyFill="1" applyBorder="1" applyAlignment="1">
      <alignment horizontal="right" wrapText="1"/>
    </xf>
    <xf numFmtId="49" fontId="50" fillId="0" borderId="30" xfId="0" applyNumberFormat="1" applyFont="1" applyBorder="1" applyAlignment="1">
      <alignment horizontal="center" vertical="center" wrapText="1"/>
    </xf>
    <xf numFmtId="168" fontId="49" fillId="0" borderId="30" xfId="1" applyNumberFormat="1" applyFont="1" applyFill="1" applyBorder="1" applyAlignment="1">
      <alignment horizontal="right" wrapText="1"/>
    </xf>
    <xf numFmtId="168" fontId="49" fillId="0" borderId="38" xfId="1" applyNumberFormat="1" applyFont="1" applyFill="1" applyBorder="1" applyAlignment="1">
      <alignment horizontal="right" wrapText="1"/>
    </xf>
    <xf numFmtId="168" fontId="49" fillId="0" borderId="29" xfId="1" applyNumberFormat="1" applyFont="1" applyFill="1" applyBorder="1" applyAlignment="1">
      <alignment horizontal="right" wrapText="1"/>
    </xf>
    <xf numFmtId="43" fontId="49" fillId="0" borderId="29" xfId="1" applyFont="1" applyFill="1" applyBorder="1" applyAlignment="1">
      <alignment horizontal="right" wrapText="1"/>
    </xf>
    <xf numFmtId="43" fontId="49" fillId="0" borderId="35" xfId="1" applyFont="1" applyFill="1" applyBorder="1" applyAlignment="1">
      <alignment horizontal="right" wrapText="1"/>
    </xf>
    <xf numFmtId="43" fontId="49" fillId="0" borderId="23" xfId="1" applyFont="1" applyFill="1" applyBorder="1" applyAlignment="1">
      <alignment horizontal="right" wrapText="1"/>
    </xf>
    <xf numFmtId="43" fontId="49" fillId="2" borderId="0" xfId="0" applyNumberFormat="1" applyFont="1" applyFill="1"/>
    <xf numFmtId="0" fontId="51" fillId="0" borderId="0" xfId="0" applyFont="1" applyAlignment="1">
      <alignment horizontal="left" vertical="center" wrapText="1"/>
    </xf>
    <xf numFmtId="43" fontId="49" fillId="26" borderId="38" xfId="1" applyFont="1" applyFill="1" applyBorder="1" applyAlignment="1">
      <alignment horizontal="right" wrapText="1"/>
    </xf>
    <xf numFmtId="0" fontId="48" fillId="2" borderId="0" xfId="0" applyFont="1" applyFill="1" applyAlignment="1">
      <alignment horizontal="center"/>
    </xf>
    <xf numFmtId="0" fontId="48" fillId="3" borderId="23" xfId="0" applyFont="1" applyFill="1" applyBorder="1" applyAlignment="1">
      <alignment horizontal="center" wrapText="1"/>
    </xf>
    <xf numFmtId="0" fontId="48" fillId="0" borderId="0" xfId="0" applyFont="1" applyAlignment="1">
      <alignment horizontal="center" wrapText="1"/>
    </xf>
    <xf numFmtId="0" fontId="49" fillId="2" borderId="35" xfId="0" applyFont="1" applyFill="1" applyBorder="1" applyAlignment="1">
      <alignment vertical="top" wrapText="1"/>
    </xf>
    <xf numFmtId="168" fontId="49" fillId="0" borderId="23" xfId="0" applyNumberFormat="1" applyFont="1" applyBorder="1" applyAlignment="1">
      <alignment horizontal="left" vertical="top" wrapText="1"/>
    </xf>
    <xf numFmtId="0" fontId="49" fillId="0" borderId="35" xfId="0" applyFont="1" applyBorder="1" applyAlignment="1">
      <alignment horizontal="right" vertical="top" wrapText="1"/>
    </xf>
    <xf numFmtId="0" fontId="49" fillId="0" borderId="30" xfId="0" applyFont="1" applyBorder="1" applyAlignment="1">
      <alignment horizontal="right" vertical="top" wrapText="1"/>
    </xf>
    <xf numFmtId="0" fontId="49" fillId="0" borderId="38" xfId="0" applyFont="1" applyBorder="1" applyAlignment="1">
      <alignment horizontal="right" vertical="top" wrapText="1"/>
    </xf>
    <xf numFmtId="168" fontId="49" fillId="0" borderId="29" xfId="1" applyNumberFormat="1" applyFont="1" applyFill="1" applyBorder="1" applyAlignment="1">
      <alignment horizontal="right" vertical="top" wrapText="1"/>
    </xf>
    <xf numFmtId="168" fontId="49" fillId="0" borderId="30" xfId="1" applyNumberFormat="1" applyFont="1" applyFill="1" applyBorder="1" applyAlignment="1">
      <alignment horizontal="right" vertical="top" wrapText="1"/>
    </xf>
    <xf numFmtId="168" fontId="49" fillId="0" borderId="38" xfId="1" applyNumberFormat="1" applyFont="1" applyFill="1" applyBorder="1" applyAlignment="1">
      <alignment horizontal="right" vertical="top" wrapText="1"/>
    </xf>
    <xf numFmtId="43" fontId="49" fillId="0" borderId="29" xfId="1" applyFont="1" applyFill="1" applyBorder="1" applyAlignment="1">
      <alignment horizontal="right" vertical="top" wrapText="1"/>
    </xf>
    <xf numFmtId="43" fontId="49" fillId="0" borderId="30" xfId="1" applyFont="1" applyFill="1" applyBorder="1" applyAlignment="1">
      <alignment horizontal="right" vertical="top" wrapText="1"/>
    </xf>
    <xf numFmtId="43" fontId="49" fillId="0" borderId="23" xfId="1" applyFont="1" applyFill="1" applyBorder="1" applyAlignment="1">
      <alignment horizontal="right" vertical="top" wrapText="1"/>
    </xf>
    <xf numFmtId="168" fontId="48" fillId="3" borderId="35" xfId="0" applyNumberFormat="1" applyFont="1" applyFill="1" applyBorder="1" applyAlignment="1">
      <alignment horizontal="right" wrapText="1"/>
    </xf>
    <xf numFmtId="168" fontId="48" fillId="3" borderId="44" xfId="0" applyNumberFormat="1" applyFont="1" applyFill="1" applyBorder="1" applyAlignment="1">
      <alignment horizontal="right" wrapText="1"/>
    </xf>
    <xf numFmtId="168" fontId="48" fillId="3" borderId="35" xfId="1" applyNumberFormat="1" applyFont="1" applyFill="1" applyBorder="1" applyAlignment="1">
      <alignment horizontal="right" wrapText="1"/>
    </xf>
    <xf numFmtId="43" fontId="48" fillId="3" borderId="35" xfId="1" applyFont="1" applyFill="1" applyBorder="1" applyAlignment="1">
      <alignment horizontal="right" wrapText="1"/>
    </xf>
    <xf numFmtId="49" fontId="48" fillId="27" borderId="22" xfId="0" applyNumberFormat="1" applyFont="1" applyFill="1" applyBorder="1" applyAlignment="1">
      <alignment vertical="center" wrapText="1"/>
    </xf>
    <xf numFmtId="0" fontId="48" fillId="18" borderId="30" xfId="1" applyNumberFormat="1" applyFont="1" applyFill="1" applyBorder="1" applyAlignment="1">
      <alignment wrapText="1"/>
    </xf>
    <xf numFmtId="168" fontId="48" fillId="18" borderId="30" xfId="1" applyNumberFormat="1" applyFont="1" applyFill="1" applyBorder="1" applyAlignment="1">
      <alignment wrapText="1"/>
    </xf>
    <xf numFmtId="0" fontId="49" fillId="18" borderId="23" xfId="0" applyFont="1" applyFill="1" applyBorder="1" applyAlignment="1">
      <alignment horizontal="left" vertical="top" wrapText="1"/>
    </xf>
    <xf numFmtId="0" fontId="52" fillId="16" borderId="35" xfId="0" applyFont="1" applyFill="1" applyBorder="1" applyAlignment="1">
      <alignment wrapText="1"/>
    </xf>
    <xf numFmtId="0" fontId="52" fillId="0" borderId="35" xfId="0" applyFont="1" applyBorder="1" applyAlignment="1">
      <alignment wrapText="1"/>
    </xf>
    <xf numFmtId="0" fontId="49" fillId="0" borderId="55" xfId="1" applyNumberFormat="1" applyFont="1" applyFill="1" applyBorder="1" applyAlignment="1">
      <alignment wrapText="1"/>
    </xf>
    <xf numFmtId="168" fontId="49" fillId="0" borderId="55" xfId="1" applyNumberFormat="1" applyFont="1" applyFill="1" applyBorder="1" applyAlignment="1">
      <alignment wrapText="1"/>
    </xf>
    <xf numFmtId="166" fontId="49" fillId="0" borderId="0" xfId="0" applyNumberFormat="1" applyFont="1"/>
    <xf numFmtId="0" fontId="53" fillId="0" borderId="53" xfId="0" applyFont="1" applyBorder="1" applyAlignment="1">
      <alignment horizontal="left" vertical="top" wrapText="1"/>
    </xf>
    <xf numFmtId="0" fontId="53" fillId="0" borderId="30" xfId="0" applyFont="1" applyBorder="1" applyAlignment="1">
      <alignment horizontal="left" wrapText="1"/>
    </xf>
    <xf numFmtId="3" fontId="53" fillId="0" borderId="30" xfId="0" applyNumberFormat="1" applyFont="1" applyBorder="1" applyAlignment="1">
      <alignment horizontal="right" wrapText="1"/>
    </xf>
    <xf numFmtId="0" fontId="53" fillId="0" borderId="30" xfId="0" applyFont="1" applyBorder="1" applyAlignment="1">
      <alignment horizontal="right" wrapText="1"/>
    </xf>
    <xf numFmtId="168" fontId="49" fillId="0" borderId="30" xfId="1" applyNumberFormat="1" applyFont="1" applyFill="1" applyBorder="1" applyAlignment="1">
      <alignment horizontal="center" wrapText="1"/>
    </xf>
    <xf numFmtId="195" fontId="49" fillId="0" borderId="0" xfId="0" applyNumberFormat="1" applyFont="1"/>
    <xf numFmtId="195" fontId="49" fillId="0" borderId="23" xfId="0" applyNumberFormat="1" applyFont="1" applyBorder="1" applyAlignment="1">
      <alignment horizontal="left" vertical="top" wrapText="1"/>
    </xf>
    <xf numFmtId="0" fontId="48" fillId="41" borderId="35" xfId="0" applyFont="1" applyFill="1" applyBorder="1" applyAlignment="1">
      <alignment wrapText="1"/>
    </xf>
    <xf numFmtId="0" fontId="53" fillId="0" borderId="30" xfId="0" applyFont="1" applyBorder="1" applyAlignment="1">
      <alignment horizontal="left" vertical="top" wrapText="1"/>
    </xf>
    <xf numFmtId="0" fontId="49" fillId="0" borderId="45" xfId="0" applyFont="1" applyBorder="1" applyAlignment="1">
      <alignment wrapText="1"/>
    </xf>
    <xf numFmtId="0" fontId="49" fillId="2" borderId="30" xfId="0" applyFont="1" applyFill="1" applyBorder="1" applyAlignment="1">
      <alignment wrapText="1"/>
    </xf>
    <xf numFmtId="0" fontId="49" fillId="0" borderId="30" xfId="0" applyFont="1" applyBorder="1" applyAlignment="1">
      <alignment horizontal="left" vertical="top" wrapText="1"/>
    </xf>
    <xf numFmtId="0" fontId="48" fillId="42" borderId="18" xfId="0" applyFont="1" applyFill="1" applyBorder="1" applyAlignment="1">
      <alignment wrapText="1"/>
    </xf>
    <xf numFmtId="0" fontId="49" fillId="2" borderId="31" xfId="0" applyFont="1" applyFill="1" applyBorder="1" applyAlignment="1">
      <alignment wrapText="1"/>
    </xf>
    <xf numFmtId="168" fontId="49" fillId="0" borderId="49" xfId="0" applyNumberFormat="1" applyFont="1" applyBorder="1" applyAlignment="1">
      <alignment horizontal="left" vertical="top" wrapText="1"/>
    </xf>
    <xf numFmtId="0" fontId="49" fillId="0" borderId="18" xfId="1" applyNumberFormat="1" applyFont="1" applyFill="1" applyBorder="1" applyAlignment="1">
      <alignment wrapText="1"/>
    </xf>
    <xf numFmtId="168" fontId="51" fillId="0" borderId="0" xfId="0" applyNumberFormat="1" applyFont="1"/>
    <xf numFmtId="0" fontId="49" fillId="0" borderId="38" xfId="0" applyFont="1" applyBorder="1" applyAlignment="1">
      <alignment horizontal="left" vertical="top" wrapText="1"/>
    </xf>
    <xf numFmtId="168" fontId="49" fillId="0" borderId="38" xfId="0" applyNumberFormat="1" applyFont="1" applyBorder="1" applyAlignment="1">
      <alignment horizontal="left" vertical="top" wrapText="1"/>
    </xf>
    <xf numFmtId="168" fontId="49" fillId="0" borderId="18" xfId="1" applyNumberFormat="1" applyFont="1" applyFill="1" applyBorder="1" applyAlignment="1">
      <alignment wrapText="1"/>
    </xf>
    <xf numFmtId="0" fontId="54" fillId="19" borderId="35" xfId="0" applyFont="1" applyFill="1" applyBorder="1" applyAlignment="1">
      <alignment vertical="top" wrapText="1"/>
    </xf>
    <xf numFmtId="168" fontId="48" fillId="0" borderId="38" xfId="1" applyNumberFormat="1" applyFont="1" applyFill="1" applyBorder="1" applyAlignment="1">
      <alignment wrapText="1"/>
    </xf>
    <xf numFmtId="0" fontId="48" fillId="36" borderId="35" xfId="0" applyFont="1" applyFill="1" applyBorder="1" applyAlignment="1">
      <alignment wrapText="1"/>
    </xf>
    <xf numFmtId="168" fontId="48" fillId="36" borderId="30" xfId="1" applyNumberFormat="1" applyFont="1" applyFill="1" applyBorder="1" applyAlignment="1">
      <alignment wrapText="1"/>
    </xf>
    <xf numFmtId="0" fontId="55" fillId="36" borderId="38" xfId="1" applyNumberFormat="1" applyFont="1" applyFill="1" applyBorder="1" applyAlignment="1">
      <alignment wrapText="1"/>
    </xf>
    <xf numFmtId="168" fontId="48" fillId="36" borderId="23" xfId="1" applyNumberFormat="1" applyFont="1" applyFill="1" applyBorder="1" applyAlignment="1">
      <alignment wrapText="1"/>
    </xf>
    <xf numFmtId="168" fontId="48" fillId="27" borderId="30" xfId="1" applyNumberFormat="1" applyFont="1" applyFill="1" applyBorder="1" applyAlignment="1">
      <alignment wrapText="1"/>
    </xf>
    <xf numFmtId="168" fontId="48" fillId="27" borderId="35" xfId="1" applyNumberFormat="1" applyFont="1" applyFill="1" applyBorder="1" applyAlignment="1">
      <alignment wrapText="1"/>
    </xf>
    <xf numFmtId="168" fontId="48" fillId="27" borderId="44" xfId="1" applyNumberFormat="1" applyFont="1" applyFill="1" applyBorder="1" applyAlignment="1">
      <alignment wrapText="1"/>
    </xf>
    <xf numFmtId="168" fontId="48" fillId="0" borderId="0" xfId="1" applyNumberFormat="1" applyFont="1" applyFill="1" applyBorder="1" applyAlignment="1">
      <alignment wrapText="1"/>
    </xf>
    <xf numFmtId="0" fontId="48" fillId="30" borderId="35" xfId="0" applyFont="1" applyFill="1" applyBorder="1" applyAlignment="1">
      <alignment wrapText="1"/>
    </xf>
    <xf numFmtId="0" fontId="48" fillId="27" borderId="30" xfId="0" applyFont="1" applyFill="1" applyBorder="1" applyAlignment="1">
      <alignment wrapText="1"/>
    </xf>
    <xf numFmtId="168" fontId="48" fillId="30" borderId="30" xfId="1" applyNumberFormat="1" applyFont="1" applyFill="1" applyBorder="1" applyAlignment="1">
      <alignment wrapText="1"/>
    </xf>
    <xf numFmtId="0" fontId="48" fillId="27" borderId="38" xfId="1" applyNumberFormat="1" applyFont="1" applyFill="1" applyBorder="1" applyAlignment="1">
      <alignment wrapText="1"/>
    </xf>
    <xf numFmtId="168" fontId="48" fillId="27" borderId="23" xfId="1" applyNumberFormat="1" applyFont="1" applyFill="1" applyBorder="1" applyAlignment="1">
      <alignment wrapText="1"/>
    </xf>
    <xf numFmtId="168" fontId="48" fillId="27" borderId="29" xfId="1" applyNumberFormat="1" applyFont="1" applyFill="1" applyBorder="1" applyAlignment="1">
      <alignment wrapText="1"/>
    </xf>
    <xf numFmtId="168" fontId="48" fillId="27" borderId="36" xfId="1" applyNumberFormat="1" applyFont="1" applyFill="1" applyBorder="1" applyAlignment="1">
      <alignment wrapText="1"/>
    </xf>
    <xf numFmtId="0" fontId="48" fillId="28" borderId="35" xfId="0" applyFont="1" applyFill="1" applyBorder="1" applyAlignment="1">
      <alignment vertical="top" wrapText="1"/>
    </xf>
    <xf numFmtId="0" fontId="48" fillId="28" borderId="30" xfId="1" applyNumberFormat="1" applyFont="1" applyFill="1" applyBorder="1" applyAlignment="1">
      <alignment vertical="top" wrapText="1"/>
    </xf>
    <xf numFmtId="168" fontId="48" fillId="28" borderId="30" xfId="1" applyNumberFormat="1" applyFont="1" applyFill="1" applyBorder="1" applyAlignment="1">
      <alignment wrapText="1"/>
    </xf>
    <xf numFmtId="0" fontId="48" fillId="28" borderId="23" xfId="1" applyNumberFormat="1" applyFont="1" applyFill="1" applyBorder="1" applyAlignment="1">
      <alignment wrapText="1"/>
    </xf>
    <xf numFmtId="168" fontId="48" fillId="28" borderId="35" xfId="1" applyNumberFormat="1" applyFont="1" applyFill="1" applyBorder="1" applyAlignment="1">
      <alignment vertical="top" wrapText="1"/>
    </xf>
    <xf numFmtId="168" fontId="48" fillId="28" borderId="44" xfId="1" applyNumberFormat="1" applyFont="1" applyFill="1" applyBorder="1" applyAlignment="1">
      <alignment vertical="top" wrapText="1"/>
    </xf>
    <xf numFmtId="168" fontId="48" fillId="28" borderId="29" xfId="1" applyNumberFormat="1" applyFont="1" applyFill="1" applyBorder="1" applyAlignment="1">
      <alignment vertical="top" wrapText="1"/>
    </xf>
    <xf numFmtId="168" fontId="49" fillId="0" borderId="0" xfId="1" applyNumberFormat="1" applyFont="1" applyFill="1" applyBorder="1"/>
    <xf numFmtId="43" fontId="48" fillId="28" borderId="35" xfId="1" applyFont="1" applyFill="1" applyBorder="1" applyAlignment="1">
      <alignment vertical="top" wrapText="1"/>
    </xf>
    <xf numFmtId="43" fontId="49" fillId="2" borderId="30" xfId="1" applyFont="1" applyFill="1" applyBorder="1" applyAlignment="1">
      <alignment wrapText="1"/>
    </xf>
    <xf numFmtId="0" fontId="49" fillId="2" borderId="23" xfId="958" applyNumberFormat="1" applyFont="1" applyFill="1" applyBorder="1" applyAlignment="1">
      <alignment horizontal="left" wrapText="1"/>
    </xf>
    <xf numFmtId="168" fontId="49" fillId="2" borderId="29" xfId="1" applyNumberFormat="1" applyFont="1" applyFill="1" applyBorder="1" applyAlignment="1">
      <alignment wrapText="1"/>
    </xf>
    <xf numFmtId="168" fontId="49" fillId="2" borderId="38" xfId="1" applyNumberFormat="1" applyFont="1" applyFill="1" applyBorder="1" applyAlignment="1">
      <alignment wrapText="1"/>
    </xf>
    <xf numFmtId="0" fontId="48" fillId="2" borderId="35" xfId="0" applyFont="1" applyFill="1" applyBorder="1" applyAlignment="1">
      <alignment wrapText="1"/>
    </xf>
    <xf numFmtId="168" fontId="48" fillId="2" borderId="30" xfId="1" applyNumberFormat="1" applyFont="1" applyFill="1" applyBorder="1" applyAlignment="1">
      <alignment wrapText="1"/>
    </xf>
    <xf numFmtId="0" fontId="48" fillId="2" borderId="42" xfId="0" applyFont="1" applyFill="1" applyBorder="1" applyAlignment="1">
      <alignment wrapText="1"/>
    </xf>
    <xf numFmtId="0" fontId="49" fillId="2" borderId="43" xfId="1" applyNumberFormat="1" applyFont="1" applyFill="1" applyBorder="1" applyAlignment="1">
      <alignment wrapText="1"/>
    </xf>
    <xf numFmtId="168" fontId="49" fillId="2" borderId="43" xfId="1" applyNumberFormat="1" applyFont="1" applyFill="1" applyBorder="1" applyAlignment="1">
      <alignment wrapText="1"/>
    </xf>
    <xf numFmtId="168" fontId="48" fillId="2" borderId="43" xfId="1" applyNumberFormat="1" applyFont="1" applyFill="1" applyBorder="1" applyAlignment="1">
      <alignment wrapText="1"/>
    </xf>
    <xf numFmtId="9" fontId="48" fillId="2" borderId="40" xfId="958" applyFont="1" applyFill="1" applyBorder="1" applyAlignment="1">
      <alignment wrapText="1"/>
    </xf>
    <xf numFmtId="0" fontId="49" fillId="2" borderId="24" xfId="958" applyNumberFormat="1" applyFont="1" applyFill="1" applyBorder="1" applyAlignment="1">
      <alignment horizontal="left" wrapText="1"/>
    </xf>
    <xf numFmtId="168" fontId="48" fillId="0" borderId="0" xfId="1" applyNumberFormat="1" applyFont="1" applyFill="1" applyAlignment="1">
      <alignment wrapText="1"/>
    </xf>
    <xf numFmtId="168" fontId="48" fillId="0" borderId="0" xfId="0" applyNumberFormat="1" applyFont="1" applyAlignment="1">
      <alignment wrapText="1"/>
    </xf>
    <xf numFmtId="43" fontId="48" fillId="0" borderId="0" xfId="0" applyNumberFormat="1" applyFont="1" applyAlignment="1">
      <alignment wrapText="1"/>
    </xf>
    <xf numFmtId="0" fontId="56" fillId="0" borderId="7" xfId="0" applyFont="1" applyBorder="1" applyAlignment="1">
      <alignment horizontal="center" vertical="center" wrapText="1"/>
    </xf>
    <xf numFmtId="168" fontId="49" fillId="2" borderId="30" xfId="0" applyNumberFormat="1" applyFont="1" applyFill="1" applyBorder="1" applyAlignment="1">
      <alignment wrapText="1"/>
    </xf>
    <xf numFmtId="168" fontId="57" fillId="26" borderId="30" xfId="1" applyNumberFormat="1" applyFont="1" applyFill="1" applyBorder="1" applyAlignment="1">
      <alignment wrapText="1"/>
    </xf>
    <xf numFmtId="0" fontId="57" fillId="2" borderId="30" xfId="0" applyFont="1" applyFill="1" applyBorder="1" applyAlignment="1">
      <alignment wrapText="1"/>
    </xf>
    <xf numFmtId="168" fontId="57" fillId="2" borderId="30" xfId="1" applyNumberFormat="1" applyFont="1" applyFill="1" applyBorder="1" applyAlignment="1">
      <alignment wrapText="1"/>
    </xf>
    <xf numFmtId="0" fontId="48" fillId="0" borderId="30" xfId="1" applyNumberFormat="1" applyFont="1" applyFill="1" applyBorder="1" applyAlignment="1">
      <alignment wrapText="1"/>
    </xf>
    <xf numFmtId="168" fontId="48" fillId="17" borderId="29" xfId="0" applyNumberFormat="1" applyFont="1" applyFill="1" applyBorder="1" applyAlignment="1">
      <alignment horizontal="right" wrapText="1"/>
    </xf>
    <xf numFmtId="168" fontId="49" fillId="0" borderId="30" xfId="0" applyNumberFormat="1" applyFont="1" applyBorder="1" applyAlignment="1">
      <alignment wrapText="1"/>
    </xf>
    <xf numFmtId="0" fontId="58" fillId="0" borderId="30" xfId="0" applyFont="1" applyBorder="1" applyAlignment="1">
      <alignment horizontal="right" wrapText="1"/>
    </xf>
    <xf numFmtId="168" fontId="49" fillId="0" borderId="29" xfId="1" applyNumberFormat="1" applyFont="1" applyFill="1" applyBorder="1" applyAlignment="1">
      <alignment wrapText="1"/>
    </xf>
    <xf numFmtId="0" fontId="57" fillId="0" borderId="30" xfId="1" applyNumberFormat="1" applyFont="1" applyFill="1" applyBorder="1" applyAlignment="1">
      <alignment wrapText="1"/>
    </xf>
    <xf numFmtId="43" fontId="59" fillId="0" borderId="0" xfId="0" applyNumberFormat="1" applyFont="1"/>
    <xf numFmtId="168" fontId="57" fillId="0" borderId="30" xfId="1" applyNumberFormat="1" applyFont="1" applyFill="1" applyBorder="1" applyAlignment="1">
      <alignment wrapText="1"/>
    </xf>
    <xf numFmtId="0" fontId="57" fillId="0" borderId="30" xfId="0" applyFont="1" applyBorder="1" applyAlignment="1">
      <alignment wrapText="1"/>
    </xf>
    <xf numFmtId="196" fontId="48" fillId="0" borderId="30" xfId="1" applyNumberFormat="1" applyFont="1" applyFill="1" applyBorder="1" applyAlignment="1">
      <alignment wrapText="1"/>
    </xf>
    <xf numFmtId="196" fontId="49" fillId="0" borderId="30" xfId="1" applyNumberFormat="1" applyFont="1" applyFill="1" applyBorder="1" applyAlignment="1">
      <alignment wrapText="1"/>
    </xf>
    <xf numFmtId="0" fontId="60" fillId="0" borderId="0" xfId="24" applyFont="1" applyAlignment="1">
      <alignment horizontal="center" vertical="center"/>
    </xf>
    <xf numFmtId="0" fontId="50" fillId="34" borderId="38" xfId="29" applyFont="1" applyFill="1" applyBorder="1" applyAlignment="1">
      <alignment horizontal="center" vertical="center"/>
    </xf>
    <xf numFmtId="0" fontId="50" fillId="34" borderId="36" xfId="29" applyFont="1" applyFill="1" applyBorder="1" applyAlignment="1">
      <alignment horizontal="center" vertical="center"/>
    </xf>
    <xf numFmtId="0" fontId="50" fillId="34" borderId="29" xfId="29" applyFont="1" applyFill="1" applyBorder="1" applyAlignment="1">
      <alignment horizontal="center" vertical="center"/>
    </xf>
    <xf numFmtId="0" fontId="52" fillId="2" borderId="0" xfId="982" applyFont="1" applyFill="1" applyAlignment="1">
      <alignment horizontal="center"/>
    </xf>
    <xf numFmtId="0" fontId="49" fillId="2" borderId="0" xfId="982" applyFont="1" applyFill="1"/>
    <xf numFmtId="0" fontId="48" fillId="2" borderId="0" xfId="982" applyFont="1" applyFill="1" applyAlignment="1">
      <alignment horizontal="center"/>
    </xf>
    <xf numFmtId="0" fontId="48" fillId="2" borderId="0" xfId="982" applyFont="1" applyFill="1"/>
    <xf numFmtId="3" fontId="49" fillId="2" borderId="0" xfId="982" applyNumberFormat="1" applyFont="1" applyFill="1"/>
    <xf numFmtId="171" fontId="52" fillId="2" borderId="0" xfId="1" applyNumberFormat="1" applyFont="1" applyFill="1" applyBorder="1" applyAlignment="1">
      <alignment horizontal="center" wrapText="1"/>
    </xf>
    <xf numFmtId="193" fontId="54" fillId="2" borderId="0" xfId="982" applyNumberFormat="1" applyFont="1" applyFill="1" applyAlignment="1">
      <alignment horizontal="center"/>
    </xf>
    <xf numFmtId="0" fontId="48" fillId="2" borderId="0" xfId="982" applyFont="1" applyFill="1" applyAlignment="1">
      <alignment horizontal="center" vertical="top"/>
    </xf>
    <xf numFmtId="0" fontId="50" fillId="3" borderId="38" xfId="982" applyFont="1" applyFill="1" applyBorder="1" applyAlignment="1">
      <alignment horizontal="center" vertical="top" wrapText="1"/>
    </xf>
    <xf numFmtId="0" fontId="50" fillId="3" borderId="36" xfId="982" applyFont="1" applyFill="1" applyBorder="1" applyAlignment="1">
      <alignment horizontal="center" vertical="top" wrapText="1"/>
    </xf>
    <xf numFmtId="0" fontId="50" fillId="3" borderId="29" xfId="982" applyFont="1" applyFill="1" applyBorder="1" applyAlignment="1">
      <alignment horizontal="center" vertical="top" wrapText="1"/>
    </xf>
    <xf numFmtId="0" fontId="52" fillId="2" borderId="0" xfId="982" applyFont="1" applyFill="1" applyAlignment="1">
      <alignment horizontal="center" vertical="top"/>
    </xf>
    <xf numFmtId="0" fontId="49" fillId="2" borderId="0" xfId="982" applyFont="1" applyFill="1" applyAlignment="1">
      <alignment vertical="top"/>
    </xf>
    <xf numFmtId="0" fontId="54" fillId="40" borderId="38" xfId="29" applyFont="1" applyFill="1" applyBorder="1" applyAlignment="1">
      <alignment horizontal="center" vertical="center" wrapText="1"/>
    </xf>
    <xf numFmtId="0" fontId="54" fillId="40" borderId="36" xfId="29" applyFont="1" applyFill="1" applyBorder="1" applyAlignment="1">
      <alignment horizontal="center" vertical="center" wrapText="1"/>
    </xf>
    <xf numFmtId="0" fontId="54" fillId="40" borderId="29" xfId="29" applyFont="1" applyFill="1" applyBorder="1" applyAlignment="1">
      <alignment horizontal="center" vertical="center" wrapText="1"/>
    </xf>
    <xf numFmtId="0" fontId="58" fillId="0" borderId="0" xfId="0" applyFont="1" applyAlignment="1">
      <alignment horizontal="center"/>
    </xf>
    <xf numFmtId="3" fontId="61" fillId="2" borderId="0" xfId="982" applyNumberFormat="1" applyFont="1" applyFill="1"/>
    <xf numFmtId="0" fontId="61" fillId="2" borderId="0" xfId="982" applyFont="1" applyFill="1"/>
    <xf numFmtId="0" fontId="62" fillId="2" borderId="0" xfId="982" applyFont="1" applyFill="1" applyAlignment="1">
      <alignment horizontal="center"/>
    </xf>
    <xf numFmtId="3" fontId="54" fillId="2" borderId="47" xfId="982" applyNumberFormat="1" applyFont="1" applyFill="1" applyBorder="1" applyAlignment="1">
      <alignment horizontal="center" vertical="center"/>
    </xf>
    <xf numFmtId="3" fontId="54" fillId="2" borderId="48" xfId="982" applyNumberFormat="1" applyFont="1" applyFill="1" applyBorder="1" applyAlignment="1">
      <alignment horizontal="center" vertical="center"/>
    </xf>
    <xf numFmtId="37" fontId="54" fillId="2" borderId="48" xfId="982" applyNumberFormat="1" applyFont="1" applyFill="1" applyBorder="1" applyAlignment="1">
      <alignment horizontal="center" vertical="center" wrapText="1"/>
    </xf>
    <xf numFmtId="171" fontId="54" fillId="2" borderId="30" xfId="1" applyNumberFormat="1" applyFont="1" applyFill="1" applyBorder="1" applyAlignment="1">
      <alignment horizontal="center" vertical="center" wrapText="1"/>
    </xf>
    <xf numFmtId="171" fontId="54" fillId="2" borderId="29" xfId="1" applyNumberFormat="1" applyFont="1" applyFill="1" applyBorder="1" applyAlignment="1">
      <alignment horizontal="center" vertical="center" wrapText="1"/>
    </xf>
    <xf numFmtId="0" fontId="52" fillId="27" borderId="0" xfId="982" applyFont="1" applyFill="1" applyAlignment="1">
      <alignment horizontal="left"/>
    </xf>
    <xf numFmtId="37" fontId="52" fillId="2" borderId="22" xfId="982" applyNumberFormat="1" applyFont="1" applyFill="1" applyBorder="1"/>
    <xf numFmtId="3" fontId="52" fillId="2" borderId="15" xfId="982" applyNumberFormat="1" applyFont="1" applyFill="1" applyBorder="1"/>
    <xf numFmtId="37" fontId="52" fillId="2" borderId="27" xfId="982" applyNumberFormat="1" applyFont="1" applyFill="1" applyBorder="1"/>
    <xf numFmtId="171" fontId="52" fillId="2" borderId="30" xfId="1" applyNumberFormat="1" applyFont="1" applyFill="1" applyBorder="1"/>
    <xf numFmtId="37" fontId="52" fillId="2" borderId="30" xfId="982" applyNumberFormat="1" applyFont="1" applyFill="1" applyBorder="1"/>
    <xf numFmtId="3" fontId="52" fillId="2" borderId="30" xfId="982" applyNumberFormat="1" applyFont="1" applyFill="1" applyBorder="1"/>
    <xf numFmtId="0" fontId="48" fillId="0" borderId="0" xfId="982" applyFont="1" applyAlignment="1">
      <alignment horizontal="center" vertical="top"/>
    </xf>
    <xf numFmtId="0" fontId="52" fillId="0" borderId="0" xfId="982" applyFont="1" applyAlignment="1">
      <alignment horizontal="center" vertical="top"/>
    </xf>
    <xf numFmtId="0" fontId="52" fillId="0" borderId="0" xfId="982" applyFont="1" applyAlignment="1">
      <alignment horizontal="center"/>
    </xf>
    <xf numFmtId="0" fontId="49" fillId="0" borderId="0" xfId="982" applyFont="1" applyAlignment="1">
      <alignment vertical="top"/>
    </xf>
    <xf numFmtId="0" fontId="49" fillId="39" borderId="46" xfId="982" applyFont="1" applyFill="1" applyBorder="1" applyAlignment="1">
      <alignment vertical="top"/>
    </xf>
    <xf numFmtId="3" fontId="54" fillId="39" borderId="52" xfId="982" applyNumberFormat="1" applyFont="1" applyFill="1" applyBorder="1"/>
    <xf numFmtId="37" fontId="54" fillId="39" borderId="51" xfId="982" applyNumberFormat="1" applyFont="1" applyFill="1" applyBorder="1"/>
    <xf numFmtId="171" fontId="54" fillId="39" borderId="26" xfId="1" applyNumberFormat="1" applyFont="1" applyFill="1" applyBorder="1"/>
    <xf numFmtId="3" fontId="54" fillId="0" borderId="0" xfId="982" applyNumberFormat="1" applyFont="1"/>
    <xf numFmtId="37" fontId="54" fillId="0" borderId="0" xfId="982" applyNumberFormat="1" applyFont="1"/>
    <xf numFmtId="171" fontId="54" fillId="0" borderId="0" xfId="1" applyNumberFormat="1" applyFont="1" applyFill="1" applyBorder="1"/>
    <xf numFmtId="37" fontId="52" fillId="0" borderId="0" xfId="982" applyNumberFormat="1" applyFont="1"/>
    <xf numFmtId="3" fontId="52" fillId="0" borderId="0" xfId="982" applyNumberFormat="1" applyFont="1"/>
    <xf numFmtId="171" fontId="52" fillId="0" borderId="0" xfId="1" applyNumberFormat="1" applyFont="1" applyFill="1" applyBorder="1"/>
    <xf numFmtId="171" fontId="52" fillId="2" borderId="0" xfId="982" applyNumberFormat="1" applyFont="1" applyFill="1" applyAlignment="1">
      <alignment horizontal="center"/>
    </xf>
    <xf numFmtId="0" fontId="52" fillId="2" borderId="0" xfId="982" applyFont="1" applyFill="1" applyAlignment="1">
      <alignment horizontal="left"/>
    </xf>
    <xf numFmtId="171" fontId="54" fillId="39" borderId="25" xfId="1" applyNumberFormat="1" applyFont="1" applyFill="1" applyBorder="1"/>
    <xf numFmtId="194" fontId="54" fillId="39" borderId="30" xfId="1" applyNumberFormat="1" applyFont="1" applyFill="1" applyBorder="1"/>
    <xf numFmtId="0" fontId="48" fillId="0" borderId="0" xfId="982" applyFont="1" applyAlignment="1">
      <alignment horizontal="center"/>
    </xf>
    <xf numFmtId="194" fontId="54" fillId="0" borderId="0" xfId="1" applyNumberFormat="1" applyFont="1" applyFill="1" applyBorder="1"/>
    <xf numFmtId="171" fontId="52" fillId="0" borderId="0" xfId="982" applyNumberFormat="1" applyFont="1" applyAlignment="1">
      <alignment horizontal="center"/>
    </xf>
    <xf numFmtId="0" fontId="48" fillId="0" borderId="0" xfId="982" applyFont="1"/>
    <xf numFmtId="171" fontId="52" fillId="16" borderId="30" xfId="1" applyNumberFormat="1" applyFont="1" applyFill="1" applyBorder="1"/>
    <xf numFmtId="0" fontId="49" fillId="2" borderId="0" xfId="982" applyFont="1" applyFill="1" applyAlignment="1">
      <alignment horizontal="center"/>
    </xf>
    <xf numFmtId="0" fontId="54" fillId="0" borderId="0" xfId="29" applyFont="1" applyAlignment="1">
      <alignment horizontal="center" wrapText="1"/>
    </xf>
    <xf numFmtId="0" fontId="54" fillId="0" borderId="36" xfId="29" applyFont="1" applyBorder="1" applyAlignment="1">
      <alignment horizontal="center" wrapText="1"/>
    </xf>
    <xf numFmtId="0" fontId="54" fillId="0" borderId="29" xfId="29" applyFont="1" applyBorder="1" applyAlignment="1">
      <alignment horizontal="center" wrapText="1"/>
    </xf>
    <xf numFmtId="3" fontId="63" fillId="2" borderId="15" xfId="982" applyNumberFormat="1" applyFont="1" applyFill="1" applyBorder="1"/>
    <xf numFmtId="37" fontId="63" fillId="2" borderId="27" xfId="982" applyNumberFormat="1" applyFont="1" applyFill="1" applyBorder="1"/>
    <xf numFmtId="171" fontId="63" fillId="2" borderId="50" xfId="1" applyNumberFormat="1" applyFont="1" applyFill="1" applyBorder="1"/>
    <xf numFmtId="171" fontId="52" fillId="2" borderId="50" xfId="1" applyNumberFormat="1" applyFont="1" applyFill="1" applyBorder="1"/>
    <xf numFmtId="37" fontId="64" fillId="39" borderId="3" xfId="982" applyNumberFormat="1" applyFont="1" applyFill="1" applyBorder="1"/>
    <xf numFmtId="3" fontId="54" fillId="39" borderId="48" xfId="982" applyNumberFormat="1" applyFont="1" applyFill="1" applyBorder="1"/>
    <xf numFmtId="37" fontId="54" fillId="39" borderId="48" xfId="982" applyNumberFormat="1" applyFont="1" applyFill="1" applyBorder="1"/>
    <xf numFmtId="171" fontId="54" fillId="39" borderId="5" xfId="1" applyNumberFormat="1" applyFont="1" applyFill="1" applyBorder="1"/>
    <xf numFmtId="171" fontId="49" fillId="2" borderId="0" xfId="1" applyNumberFormat="1" applyFont="1" applyFill="1"/>
    <xf numFmtId="0" fontId="65" fillId="0" borderId="58" xfId="0" applyFont="1" applyBorder="1" applyAlignment="1">
      <alignment horizontal="center" wrapText="1"/>
    </xf>
    <xf numFmtId="0" fontId="65" fillId="0" borderId="59" xfId="0" applyFont="1" applyBorder="1" applyAlignment="1">
      <alignment horizontal="center" wrapText="1"/>
    </xf>
    <xf numFmtId="0" fontId="65" fillId="0" borderId="60" xfId="0" applyFont="1" applyBorder="1" applyAlignment="1">
      <alignment horizontal="center" wrapText="1"/>
    </xf>
    <xf numFmtId="0" fontId="51" fillId="0" borderId="0" xfId="0" applyFont="1"/>
    <xf numFmtId="0" fontId="66" fillId="0" borderId="30" xfId="0" applyFont="1" applyBorder="1" applyAlignment="1">
      <alignment horizontal="center" vertical="center" wrapText="1"/>
    </xf>
    <xf numFmtId="0" fontId="66" fillId="0" borderId="30" xfId="0" applyFont="1" applyBorder="1" applyAlignment="1">
      <alignment horizontal="center"/>
    </xf>
    <xf numFmtId="0" fontId="67" fillId="0" borderId="30" xfId="0" applyFont="1" applyBorder="1" applyAlignment="1">
      <alignment horizontal="center"/>
    </xf>
    <xf numFmtId="0" fontId="67" fillId="0" borderId="30" xfId="0" applyFont="1" applyBorder="1" applyAlignment="1">
      <alignment horizontal="center" vertical="center"/>
    </xf>
    <xf numFmtId="0" fontId="67" fillId="0" borderId="30" xfId="0" applyFont="1" applyBorder="1"/>
    <xf numFmtId="49" fontId="66" fillId="0" borderId="38" xfId="0" applyNumberFormat="1" applyFont="1" applyBorder="1" applyAlignment="1">
      <alignment horizontal="left" vertical="center" wrapText="1"/>
    </xf>
    <xf numFmtId="49" fontId="66" fillId="0" borderId="36" xfId="0" applyNumberFormat="1" applyFont="1" applyBorder="1" applyAlignment="1">
      <alignment horizontal="left" vertical="center" wrapText="1"/>
    </xf>
    <xf numFmtId="49" fontId="66" fillId="0" borderId="29" xfId="0" applyNumberFormat="1" applyFont="1" applyBorder="1" applyAlignment="1">
      <alignment horizontal="left" vertical="center" wrapText="1"/>
    </xf>
    <xf numFmtId="0" fontId="51" fillId="0" borderId="30" xfId="0" applyFont="1" applyBorder="1"/>
    <xf numFmtId="0" fontId="68" fillId="0" borderId="30" xfId="0" applyFont="1" applyBorder="1" applyAlignment="1">
      <alignment horizontal="left" wrapText="1"/>
    </xf>
    <xf numFmtId="0" fontId="67" fillId="19" borderId="30" xfId="0" applyFont="1" applyFill="1" applyBorder="1" applyAlignment="1">
      <alignment horizontal="center" vertical="center"/>
    </xf>
    <xf numFmtId="0" fontId="67" fillId="0" borderId="30" xfId="0" applyFont="1" applyBorder="1" applyAlignment="1">
      <alignment horizontal="center" vertical="center"/>
    </xf>
    <xf numFmtId="0" fontId="67" fillId="43" borderId="30" xfId="0" applyFont="1" applyFill="1" applyBorder="1"/>
    <xf numFmtId="0" fontId="67" fillId="43" borderId="30" xfId="0" applyFont="1" applyFill="1" applyBorder="1" applyAlignment="1">
      <alignment horizontal="center" vertical="center"/>
    </xf>
    <xf numFmtId="0" fontId="51" fillId="19" borderId="30" xfId="0" applyFont="1" applyFill="1" applyBorder="1"/>
    <xf numFmtId="0" fontId="67" fillId="19" borderId="30" xfId="0" applyFont="1" applyFill="1" applyBorder="1"/>
    <xf numFmtId="0" fontId="66" fillId="0" borderId="30" xfId="0" applyFont="1" applyBorder="1" applyAlignment="1">
      <alignment horizontal="left" vertical="center" wrapText="1"/>
    </xf>
    <xf numFmtId="0" fontId="66" fillId="0" borderId="30" xfId="0" applyFont="1" applyBorder="1" applyAlignment="1">
      <alignment horizontal="left" wrapText="1"/>
    </xf>
    <xf numFmtId="0" fontId="51" fillId="0" borderId="0" xfId="0" applyFont="1" applyAlignment="1">
      <alignment horizontal="left" wrapText="1"/>
    </xf>
    <xf numFmtId="9" fontId="69" fillId="0" borderId="0" xfId="958" applyFont="1"/>
    <xf numFmtId="0" fontId="70" fillId="0" borderId="0" xfId="0" applyFont="1"/>
    <xf numFmtId="0" fontId="51" fillId="0" borderId="0" xfId="0" applyFont="1" applyAlignment="1">
      <alignment wrapText="1"/>
    </xf>
    <xf numFmtId="0" fontId="51" fillId="0" borderId="0" xfId="0" applyFont="1" applyAlignment="1">
      <alignment horizontal="left" vertical="top" wrapText="1"/>
    </xf>
    <xf numFmtId="0" fontId="71" fillId="33" borderId="0" xfId="0" applyFont="1" applyFill="1"/>
    <xf numFmtId="43" fontId="72" fillId="33" borderId="0" xfId="1" applyFont="1" applyFill="1" applyAlignment="1">
      <alignment horizontal="center" wrapText="1"/>
    </xf>
    <xf numFmtId="0" fontId="72" fillId="33" borderId="0" xfId="0" applyFont="1" applyFill="1" applyAlignment="1">
      <alignment horizontal="center" wrapText="1"/>
    </xf>
    <xf numFmtId="9" fontId="72" fillId="33" borderId="0" xfId="958" applyFont="1" applyFill="1" applyAlignment="1">
      <alignment horizontal="center" wrapText="1"/>
    </xf>
    <xf numFmtId="168" fontId="72" fillId="33" borderId="0" xfId="1" applyNumberFormat="1" applyFont="1" applyFill="1" applyAlignment="1">
      <alignment horizontal="center" wrapText="1"/>
    </xf>
    <xf numFmtId="43" fontId="72" fillId="0" borderId="0" xfId="1" applyFont="1"/>
    <xf numFmtId="168" fontId="69" fillId="0" borderId="0" xfId="1" applyNumberFormat="1" applyFont="1" applyFill="1"/>
    <xf numFmtId="168" fontId="69" fillId="0" borderId="0" xfId="1" applyNumberFormat="1" applyFont="1"/>
    <xf numFmtId="168" fontId="72" fillId="0" borderId="0" xfId="1" applyNumberFormat="1" applyFont="1"/>
    <xf numFmtId="166" fontId="51" fillId="0" borderId="0" xfId="0" applyNumberFormat="1" applyFont="1"/>
    <xf numFmtId="43" fontId="73" fillId="0" borderId="0" xfId="1" applyFont="1"/>
    <xf numFmtId="168" fontId="72" fillId="0" borderId="37" xfId="1" applyNumberFormat="1" applyFont="1" applyBorder="1"/>
    <xf numFmtId="43" fontId="69" fillId="0" borderId="0" xfId="1" applyFont="1"/>
    <xf numFmtId="0" fontId="69" fillId="0" borderId="0" xfId="0" applyFont="1"/>
    <xf numFmtId="166" fontId="72" fillId="0" borderId="0" xfId="0" applyNumberFormat="1" applyFont="1"/>
    <xf numFmtId="1" fontId="69" fillId="0" borderId="0" xfId="0" applyNumberFormat="1" applyFont="1"/>
    <xf numFmtId="1" fontId="69" fillId="0" borderId="0" xfId="1" applyNumberFormat="1" applyFont="1"/>
    <xf numFmtId="9" fontId="69" fillId="0" borderId="0" xfId="958" applyFont="1" applyFill="1"/>
    <xf numFmtId="0" fontId="53" fillId="0" borderId="0" xfId="0" applyFont="1"/>
    <xf numFmtId="0" fontId="72" fillId="0" borderId="0" xfId="0" applyFont="1"/>
    <xf numFmtId="168" fontId="69" fillId="0" borderId="0" xfId="0" applyNumberFormat="1" applyFont="1"/>
    <xf numFmtId="49" fontId="51" fillId="0" borderId="0" xfId="0" applyNumberFormat="1" applyFont="1" applyAlignment="1">
      <alignment wrapText="1"/>
    </xf>
  </cellXfs>
  <cellStyles count="985">
    <cellStyle name="'000206" xfId="34" xr:uid="{00000000-0005-0000-0000-000000000000}"/>
    <cellStyle name="20 % - Accent1" xfId="35" xr:uid="{00000000-0005-0000-0000-000001000000}"/>
    <cellStyle name="20 % - Accent2" xfId="36" xr:uid="{00000000-0005-0000-0000-000002000000}"/>
    <cellStyle name="20 % - Accent3" xfId="37" xr:uid="{00000000-0005-0000-0000-000003000000}"/>
    <cellStyle name="20 % - Accent4" xfId="38" xr:uid="{00000000-0005-0000-0000-000004000000}"/>
    <cellStyle name="20 % - Accent5" xfId="39" xr:uid="{00000000-0005-0000-0000-000005000000}"/>
    <cellStyle name="20 % - Accent6" xfId="40" xr:uid="{00000000-0005-0000-0000-000006000000}"/>
    <cellStyle name="20% - Accent1 2" xfId="2" xr:uid="{00000000-0005-0000-0000-000007000000}"/>
    <cellStyle name="20% - Accent2 2" xfId="3" xr:uid="{00000000-0005-0000-0000-000008000000}"/>
    <cellStyle name="20% - Accent3 2" xfId="4" xr:uid="{00000000-0005-0000-0000-000009000000}"/>
    <cellStyle name="20% - Accent4 2" xfId="5" xr:uid="{00000000-0005-0000-0000-00000A000000}"/>
    <cellStyle name="20% - Accent5 2" xfId="6" xr:uid="{00000000-0005-0000-0000-00000B000000}"/>
    <cellStyle name="20% - Accent6 2" xfId="7" xr:uid="{00000000-0005-0000-0000-00000C000000}"/>
    <cellStyle name="40 % - Accent1" xfId="41" xr:uid="{00000000-0005-0000-0000-00000D000000}"/>
    <cellStyle name="40 % - Accent2" xfId="42" xr:uid="{00000000-0005-0000-0000-00000E000000}"/>
    <cellStyle name="40 % - Accent3" xfId="43" xr:uid="{00000000-0005-0000-0000-00000F000000}"/>
    <cellStyle name="40 % - Accent4" xfId="44" xr:uid="{00000000-0005-0000-0000-000010000000}"/>
    <cellStyle name="40 % - Accent5" xfId="45" xr:uid="{00000000-0005-0000-0000-000011000000}"/>
    <cellStyle name="40 % - Accent6" xfId="46" xr:uid="{00000000-0005-0000-0000-000012000000}"/>
    <cellStyle name="40% - Accent1 2" xfId="8" xr:uid="{00000000-0005-0000-0000-000013000000}"/>
    <cellStyle name="40% - Accent2 2" xfId="9" xr:uid="{00000000-0005-0000-0000-000014000000}"/>
    <cellStyle name="40% - Accent3 2" xfId="10" xr:uid="{00000000-0005-0000-0000-000015000000}"/>
    <cellStyle name="40% - Accent4 2" xfId="11" xr:uid="{00000000-0005-0000-0000-000016000000}"/>
    <cellStyle name="40% - Accent5 2" xfId="12" xr:uid="{00000000-0005-0000-0000-000017000000}"/>
    <cellStyle name="40% - Accent6 2" xfId="13" xr:uid="{00000000-0005-0000-0000-000018000000}"/>
    <cellStyle name="60 % - Accent1" xfId="47" xr:uid="{00000000-0005-0000-0000-000019000000}"/>
    <cellStyle name="60 % - Accent2" xfId="48" xr:uid="{00000000-0005-0000-0000-00001A000000}"/>
    <cellStyle name="60 % - Accent3" xfId="49" xr:uid="{00000000-0005-0000-0000-00001B000000}"/>
    <cellStyle name="60 % - Accent4" xfId="50" xr:uid="{00000000-0005-0000-0000-00001C000000}"/>
    <cellStyle name="60 % - Accent5" xfId="51" xr:uid="{00000000-0005-0000-0000-00001D000000}"/>
    <cellStyle name="60 % - Accent6" xfId="52" xr:uid="{00000000-0005-0000-0000-00001E000000}"/>
    <cellStyle name="Avertissement" xfId="53" xr:uid="{00000000-0005-0000-0000-00001F000000}"/>
    <cellStyle name="Calcul" xfId="54" xr:uid="{00000000-0005-0000-0000-000020000000}"/>
    <cellStyle name="Calcul 2" xfId="55" xr:uid="{00000000-0005-0000-0000-000021000000}"/>
    <cellStyle name="Calcul 2 2" xfId="56" xr:uid="{00000000-0005-0000-0000-000022000000}"/>
    <cellStyle name="Calcul 3" xfId="57" xr:uid="{00000000-0005-0000-0000-000023000000}"/>
    <cellStyle name="Cellule liée" xfId="58" xr:uid="{00000000-0005-0000-0000-000024000000}"/>
    <cellStyle name="Cft" xfId="59" xr:uid="{00000000-0005-0000-0000-000025000000}"/>
    <cellStyle name="Cft 2" xfId="60" xr:uid="{00000000-0005-0000-0000-000026000000}"/>
    <cellStyle name="Cft 3" xfId="61" xr:uid="{00000000-0005-0000-0000-000027000000}"/>
    <cellStyle name="Cft 4" xfId="62" xr:uid="{00000000-0005-0000-0000-000028000000}"/>
    <cellStyle name="checked" xfId="63" xr:uid="{00000000-0005-0000-0000-000029000000}"/>
    <cellStyle name="checked 2" xfId="64" xr:uid="{00000000-0005-0000-0000-00002A000000}"/>
    <cellStyle name="colo" xfId="65" xr:uid="{00000000-0005-0000-0000-00002B000000}"/>
    <cellStyle name="colo 2" xfId="66" xr:uid="{00000000-0005-0000-0000-00002C000000}"/>
    <cellStyle name="Comma" xfId="1" builtinId="3"/>
    <cellStyle name="Comma 10" xfId="67" xr:uid="{00000000-0005-0000-0000-00002E000000}"/>
    <cellStyle name="Comma 10 2" xfId="68" xr:uid="{00000000-0005-0000-0000-00002F000000}"/>
    <cellStyle name="Comma 10 3" xfId="69" xr:uid="{00000000-0005-0000-0000-000030000000}"/>
    <cellStyle name="Comma 10 4" xfId="70" xr:uid="{00000000-0005-0000-0000-000031000000}"/>
    <cellStyle name="Comma 10 5" xfId="71" xr:uid="{00000000-0005-0000-0000-000032000000}"/>
    <cellStyle name="Comma 10 6" xfId="72" xr:uid="{00000000-0005-0000-0000-000033000000}"/>
    <cellStyle name="Comma 11" xfId="14" xr:uid="{00000000-0005-0000-0000-000034000000}"/>
    <cellStyle name="Comma 11 2" xfId="73" xr:uid="{00000000-0005-0000-0000-000035000000}"/>
    <cellStyle name="Comma 12" xfId="74" xr:uid="{00000000-0005-0000-0000-000036000000}"/>
    <cellStyle name="Comma 12 2" xfId="75" xr:uid="{00000000-0005-0000-0000-000037000000}"/>
    <cellStyle name="Comma 12 6" xfId="76" xr:uid="{00000000-0005-0000-0000-000038000000}"/>
    <cellStyle name="Comma 12 6 2" xfId="77" xr:uid="{00000000-0005-0000-0000-000039000000}"/>
    <cellStyle name="Comma 13" xfId="78" xr:uid="{00000000-0005-0000-0000-00003A000000}"/>
    <cellStyle name="Comma 13 2" xfId="79" xr:uid="{00000000-0005-0000-0000-00003B000000}"/>
    <cellStyle name="Comma 13 6" xfId="80" xr:uid="{00000000-0005-0000-0000-00003C000000}"/>
    <cellStyle name="Comma 14" xfId="32" xr:uid="{00000000-0005-0000-0000-00003D000000}"/>
    <cellStyle name="Comma 14 2" xfId="81" xr:uid="{00000000-0005-0000-0000-00003E000000}"/>
    <cellStyle name="Comma 15" xfId="82" xr:uid="{00000000-0005-0000-0000-00003F000000}"/>
    <cellStyle name="Comma 16" xfId="83" xr:uid="{00000000-0005-0000-0000-000040000000}"/>
    <cellStyle name="Comma 16 2" xfId="84" xr:uid="{00000000-0005-0000-0000-000041000000}"/>
    <cellStyle name="Comma 17" xfId="85" xr:uid="{00000000-0005-0000-0000-000042000000}"/>
    <cellStyle name="Comma 18" xfId="86" xr:uid="{00000000-0005-0000-0000-000043000000}"/>
    <cellStyle name="Comma 19" xfId="87" xr:uid="{00000000-0005-0000-0000-000044000000}"/>
    <cellStyle name="Comma 2" xfId="15" xr:uid="{00000000-0005-0000-0000-000045000000}"/>
    <cellStyle name="Comma 2 10" xfId="88" xr:uid="{00000000-0005-0000-0000-000046000000}"/>
    <cellStyle name="Comma 2 11" xfId="89" xr:uid="{00000000-0005-0000-0000-000047000000}"/>
    <cellStyle name="Comma 2 11 2" xfId="90" xr:uid="{00000000-0005-0000-0000-000048000000}"/>
    <cellStyle name="Comma 2 11 3" xfId="91" xr:uid="{00000000-0005-0000-0000-000049000000}"/>
    <cellStyle name="Comma 2 12" xfId="92" xr:uid="{00000000-0005-0000-0000-00004A000000}"/>
    <cellStyle name="Comma 2 13" xfId="93" xr:uid="{00000000-0005-0000-0000-00004B000000}"/>
    <cellStyle name="Comma 2 14" xfId="94" xr:uid="{00000000-0005-0000-0000-00004C000000}"/>
    <cellStyle name="Comma 2 15" xfId="95" xr:uid="{00000000-0005-0000-0000-00004D000000}"/>
    <cellStyle name="Comma 2 15 2" xfId="96" xr:uid="{00000000-0005-0000-0000-00004E000000}"/>
    <cellStyle name="Comma 2 16" xfId="97" xr:uid="{00000000-0005-0000-0000-00004F000000}"/>
    <cellStyle name="Comma 2 17" xfId="98" xr:uid="{00000000-0005-0000-0000-000050000000}"/>
    <cellStyle name="Comma 2 18" xfId="99" xr:uid="{00000000-0005-0000-0000-000051000000}"/>
    <cellStyle name="Comma 2 19" xfId="100" xr:uid="{00000000-0005-0000-0000-000052000000}"/>
    <cellStyle name="Comma 2 19 2" xfId="101" xr:uid="{00000000-0005-0000-0000-000053000000}"/>
    <cellStyle name="Comma 2 19 3" xfId="102" xr:uid="{00000000-0005-0000-0000-000054000000}"/>
    <cellStyle name="Comma 2 19 4" xfId="103" xr:uid="{00000000-0005-0000-0000-000055000000}"/>
    <cellStyle name="Comma 2 19 5" xfId="104" xr:uid="{00000000-0005-0000-0000-000056000000}"/>
    <cellStyle name="Comma 2 2" xfId="16" xr:uid="{00000000-0005-0000-0000-000057000000}"/>
    <cellStyle name="Comma 2 2 2" xfId="105" xr:uid="{00000000-0005-0000-0000-000058000000}"/>
    <cellStyle name="Comma 2 2 2 2" xfId="106" xr:uid="{00000000-0005-0000-0000-000059000000}"/>
    <cellStyle name="Comma 2 2 3" xfId="107" xr:uid="{00000000-0005-0000-0000-00005A000000}"/>
    <cellStyle name="Comma 2 2 3 2" xfId="108" xr:uid="{00000000-0005-0000-0000-00005B000000}"/>
    <cellStyle name="Comma 2 2 4" xfId="109" xr:uid="{00000000-0005-0000-0000-00005C000000}"/>
    <cellStyle name="Comma 2 2 4 2" xfId="110" xr:uid="{00000000-0005-0000-0000-00005D000000}"/>
    <cellStyle name="Comma 2 2 5" xfId="111" xr:uid="{00000000-0005-0000-0000-00005E000000}"/>
    <cellStyle name="Comma 2 2 5 2" xfId="112" xr:uid="{00000000-0005-0000-0000-00005F000000}"/>
    <cellStyle name="Comma 2 2 6" xfId="113" xr:uid="{00000000-0005-0000-0000-000060000000}"/>
    <cellStyle name="Comma 2 2 6 2" xfId="114" xr:uid="{00000000-0005-0000-0000-000061000000}"/>
    <cellStyle name="Comma 2 2 7" xfId="115" xr:uid="{00000000-0005-0000-0000-000062000000}"/>
    <cellStyle name="Comma 2 2 7 2" xfId="116" xr:uid="{00000000-0005-0000-0000-000063000000}"/>
    <cellStyle name="Comma 2 2 8" xfId="117" xr:uid="{00000000-0005-0000-0000-000064000000}"/>
    <cellStyle name="Comma 2 2_GBP AND USD BANK" xfId="118" xr:uid="{00000000-0005-0000-0000-000065000000}"/>
    <cellStyle name="Comma 2 20" xfId="119" xr:uid="{00000000-0005-0000-0000-000066000000}"/>
    <cellStyle name="Comma 2 23" xfId="120" xr:uid="{00000000-0005-0000-0000-000067000000}"/>
    <cellStyle name="Comma 2 3" xfId="17" xr:uid="{00000000-0005-0000-0000-000068000000}"/>
    <cellStyle name="Comma 2 3 2" xfId="33" xr:uid="{00000000-0005-0000-0000-000069000000}"/>
    <cellStyle name="Comma 2 3 3" xfId="959" xr:uid="{00000000-0005-0000-0000-00006A000000}"/>
    <cellStyle name="Comma 2 4" xfId="121" xr:uid="{00000000-0005-0000-0000-00006B000000}"/>
    <cellStyle name="Comma 2 4 2" xfId="122" xr:uid="{00000000-0005-0000-0000-00006C000000}"/>
    <cellStyle name="Comma 2 4 2 2" xfId="123" xr:uid="{00000000-0005-0000-0000-00006D000000}"/>
    <cellStyle name="Comma 2 5" xfId="124" xr:uid="{00000000-0005-0000-0000-00006E000000}"/>
    <cellStyle name="Comma 2 6" xfId="125" xr:uid="{00000000-0005-0000-0000-00006F000000}"/>
    <cellStyle name="Comma 2 7" xfId="126" xr:uid="{00000000-0005-0000-0000-000070000000}"/>
    <cellStyle name="Comma 2 8" xfId="127" xr:uid="{00000000-0005-0000-0000-000071000000}"/>
    <cellStyle name="Comma 2 9" xfId="128" xr:uid="{00000000-0005-0000-0000-000072000000}"/>
    <cellStyle name="Comma 2_GBP AND USD BANK" xfId="129" xr:uid="{00000000-0005-0000-0000-000073000000}"/>
    <cellStyle name="Comma 20" xfId="130" xr:uid="{00000000-0005-0000-0000-000074000000}"/>
    <cellStyle name="Comma 20 2" xfId="131" xr:uid="{00000000-0005-0000-0000-000075000000}"/>
    <cellStyle name="Comma 20 2 2" xfId="132" xr:uid="{00000000-0005-0000-0000-000076000000}"/>
    <cellStyle name="Comma 20 2 3" xfId="133" xr:uid="{00000000-0005-0000-0000-000077000000}"/>
    <cellStyle name="Comma 20 2 4" xfId="134" xr:uid="{00000000-0005-0000-0000-000078000000}"/>
    <cellStyle name="Comma 20 3" xfId="135" xr:uid="{00000000-0005-0000-0000-000079000000}"/>
    <cellStyle name="Comma 21" xfId="136" xr:uid="{00000000-0005-0000-0000-00007A000000}"/>
    <cellStyle name="Comma 22" xfId="137" xr:uid="{00000000-0005-0000-0000-00007B000000}"/>
    <cellStyle name="Comma 22 2" xfId="138" xr:uid="{00000000-0005-0000-0000-00007C000000}"/>
    <cellStyle name="Comma 22 3" xfId="139" xr:uid="{00000000-0005-0000-0000-00007D000000}"/>
    <cellStyle name="Comma 22 4" xfId="140" xr:uid="{00000000-0005-0000-0000-00007E000000}"/>
    <cellStyle name="Comma 22 5" xfId="141" xr:uid="{00000000-0005-0000-0000-00007F000000}"/>
    <cellStyle name="Comma 22 6" xfId="142" xr:uid="{00000000-0005-0000-0000-000080000000}"/>
    <cellStyle name="Comma 23" xfId="143" xr:uid="{00000000-0005-0000-0000-000081000000}"/>
    <cellStyle name="Comma 24" xfId="144" xr:uid="{00000000-0005-0000-0000-000082000000}"/>
    <cellStyle name="Comma 25" xfId="145" xr:uid="{00000000-0005-0000-0000-000083000000}"/>
    <cellStyle name="Comma 25 2" xfId="146" xr:uid="{00000000-0005-0000-0000-000084000000}"/>
    <cellStyle name="Comma 26" xfId="147" xr:uid="{00000000-0005-0000-0000-000085000000}"/>
    <cellStyle name="Comma 27" xfId="148" xr:uid="{00000000-0005-0000-0000-000086000000}"/>
    <cellStyle name="Comma 27 2" xfId="149" xr:uid="{00000000-0005-0000-0000-000087000000}"/>
    <cellStyle name="Comma 27 3" xfId="150" xr:uid="{00000000-0005-0000-0000-000088000000}"/>
    <cellStyle name="Comma 27 4" xfId="151" xr:uid="{00000000-0005-0000-0000-000089000000}"/>
    <cellStyle name="Comma 28" xfId="152" xr:uid="{00000000-0005-0000-0000-00008A000000}"/>
    <cellStyle name="Comma 28 2" xfId="153" xr:uid="{00000000-0005-0000-0000-00008B000000}"/>
    <cellStyle name="Comma 29" xfId="154" xr:uid="{00000000-0005-0000-0000-00008C000000}"/>
    <cellStyle name="Comma 29 2" xfId="155" xr:uid="{00000000-0005-0000-0000-00008D000000}"/>
    <cellStyle name="Comma 29 2 2" xfId="156" xr:uid="{00000000-0005-0000-0000-00008E000000}"/>
    <cellStyle name="Comma 29 3" xfId="157" xr:uid="{00000000-0005-0000-0000-00008F000000}"/>
    <cellStyle name="Comma 29 4" xfId="158" xr:uid="{00000000-0005-0000-0000-000090000000}"/>
    <cellStyle name="Comma 3" xfId="18" xr:uid="{00000000-0005-0000-0000-000091000000}"/>
    <cellStyle name="Comma 3 10" xfId="159" xr:uid="{00000000-0005-0000-0000-000092000000}"/>
    <cellStyle name="Comma 3 2" xfId="19" xr:uid="{00000000-0005-0000-0000-000093000000}"/>
    <cellStyle name="Comma 3 2 2" xfId="160" xr:uid="{00000000-0005-0000-0000-000094000000}"/>
    <cellStyle name="Comma 3 2 2 2" xfId="161" xr:uid="{00000000-0005-0000-0000-000095000000}"/>
    <cellStyle name="Comma 3 2 2 3" xfId="162" xr:uid="{00000000-0005-0000-0000-000096000000}"/>
    <cellStyle name="Comma 3 2 3" xfId="163" xr:uid="{00000000-0005-0000-0000-000097000000}"/>
    <cellStyle name="Comma 3 2 4" xfId="164" xr:uid="{00000000-0005-0000-0000-000098000000}"/>
    <cellStyle name="Comma 3 2 5" xfId="165" xr:uid="{00000000-0005-0000-0000-000099000000}"/>
    <cellStyle name="Comma 3 2 6" xfId="960" xr:uid="{00000000-0005-0000-0000-00009A000000}"/>
    <cellStyle name="Comma 3 3" xfId="20" xr:uid="{00000000-0005-0000-0000-00009B000000}"/>
    <cellStyle name="Comma 3 3 2" xfId="166" xr:uid="{00000000-0005-0000-0000-00009C000000}"/>
    <cellStyle name="Comma 3 3 2 2 2" xfId="167" xr:uid="{00000000-0005-0000-0000-00009D000000}"/>
    <cellStyle name="Comma 3 3 3" xfId="961" xr:uid="{00000000-0005-0000-0000-00009E000000}"/>
    <cellStyle name="Comma 3 4" xfId="168" xr:uid="{00000000-0005-0000-0000-00009F000000}"/>
    <cellStyle name="Comma 3 5" xfId="169" xr:uid="{00000000-0005-0000-0000-0000A0000000}"/>
    <cellStyle name="Comma 3 6" xfId="170" xr:uid="{00000000-0005-0000-0000-0000A1000000}"/>
    <cellStyle name="Comma 3 7" xfId="171" xr:uid="{00000000-0005-0000-0000-0000A2000000}"/>
    <cellStyle name="Comma 3 8" xfId="172" xr:uid="{00000000-0005-0000-0000-0000A3000000}"/>
    <cellStyle name="Comma 3 9" xfId="173" xr:uid="{00000000-0005-0000-0000-0000A4000000}"/>
    <cellStyle name="Comma 3_GBP AND USD BANK" xfId="174" xr:uid="{00000000-0005-0000-0000-0000A5000000}"/>
    <cellStyle name="Comma 30" xfId="175" xr:uid="{00000000-0005-0000-0000-0000A6000000}"/>
    <cellStyle name="Comma 31" xfId="176" xr:uid="{00000000-0005-0000-0000-0000A7000000}"/>
    <cellStyle name="Comma 32" xfId="177" xr:uid="{00000000-0005-0000-0000-0000A8000000}"/>
    <cellStyle name="Comma 33" xfId="178" xr:uid="{00000000-0005-0000-0000-0000A9000000}"/>
    <cellStyle name="Comma 34" xfId="179" xr:uid="{00000000-0005-0000-0000-0000AA000000}"/>
    <cellStyle name="Comma 35" xfId="180" xr:uid="{00000000-0005-0000-0000-0000AB000000}"/>
    <cellStyle name="Comma 36" xfId="181" xr:uid="{00000000-0005-0000-0000-0000AC000000}"/>
    <cellStyle name="Comma 36 2" xfId="182" xr:uid="{00000000-0005-0000-0000-0000AD000000}"/>
    <cellStyle name="Comma 36 3" xfId="183" xr:uid="{00000000-0005-0000-0000-0000AE000000}"/>
    <cellStyle name="Comma 37" xfId="184" xr:uid="{00000000-0005-0000-0000-0000AF000000}"/>
    <cellStyle name="Comma 37 2" xfId="185" xr:uid="{00000000-0005-0000-0000-0000B0000000}"/>
    <cellStyle name="Comma 37 3" xfId="186" xr:uid="{00000000-0005-0000-0000-0000B1000000}"/>
    <cellStyle name="Comma 37 4" xfId="187" xr:uid="{00000000-0005-0000-0000-0000B2000000}"/>
    <cellStyle name="Comma 38" xfId="188" xr:uid="{00000000-0005-0000-0000-0000B3000000}"/>
    <cellStyle name="Comma 39" xfId="189" xr:uid="{00000000-0005-0000-0000-0000B4000000}"/>
    <cellStyle name="Comma 4" xfId="21" xr:uid="{00000000-0005-0000-0000-0000B5000000}"/>
    <cellStyle name="Comma 4 2" xfId="190" xr:uid="{00000000-0005-0000-0000-0000B6000000}"/>
    <cellStyle name="Comma 4 3" xfId="191" xr:uid="{00000000-0005-0000-0000-0000B7000000}"/>
    <cellStyle name="Comma 4 4" xfId="192" xr:uid="{00000000-0005-0000-0000-0000B8000000}"/>
    <cellStyle name="Comma 4 5" xfId="193" xr:uid="{00000000-0005-0000-0000-0000B9000000}"/>
    <cellStyle name="Comma 4 6" xfId="194" xr:uid="{00000000-0005-0000-0000-0000BA000000}"/>
    <cellStyle name="Comma 4 6 2" xfId="195" xr:uid="{00000000-0005-0000-0000-0000BB000000}"/>
    <cellStyle name="Comma 4 7" xfId="962" xr:uid="{00000000-0005-0000-0000-0000BC000000}"/>
    <cellStyle name="Comma 40" xfId="196" xr:uid="{00000000-0005-0000-0000-0000BD000000}"/>
    <cellStyle name="Comma 41" xfId="197" xr:uid="{00000000-0005-0000-0000-0000BE000000}"/>
    <cellStyle name="Comma 42" xfId="198" xr:uid="{00000000-0005-0000-0000-0000BF000000}"/>
    <cellStyle name="Comma 43" xfId="199" xr:uid="{00000000-0005-0000-0000-0000C0000000}"/>
    <cellStyle name="Comma 43 2" xfId="200" xr:uid="{00000000-0005-0000-0000-0000C1000000}"/>
    <cellStyle name="Comma 44" xfId="201" xr:uid="{00000000-0005-0000-0000-0000C2000000}"/>
    <cellStyle name="Comma 45" xfId="202" xr:uid="{00000000-0005-0000-0000-0000C3000000}"/>
    <cellStyle name="Comma 46" xfId="203" xr:uid="{00000000-0005-0000-0000-0000C4000000}"/>
    <cellStyle name="Comma 47" xfId="204" xr:uid="{00000000-0005-0000-0000-0000C5000000}"/>
    <cellStyle name="Comma 48" xfId="205" xr:uid="{00000000-0005-0000-0000-0000C6000000}"/>
    <cellStyle name="Comma 49" xfId="206" xr:uid="{00000000-0005-0000-0000-0000C7000000}"/>
    <cellStyle name="Comma 49 2" xfId="207" xr:uid="{00000000-0005-0000-0000-0000C8000000}"/>
    <cellStyle name="Comma 5" xfId="208" xr:uid="{00000000-0005-0000-0000-0000C9000000}"/>
    <cellStyle name="Comma 5 2" xfId="209" xr:uid="{00000000-0005-0000-0000-0000CA000000}"/>
    <cellStyle name="Comma 5 2 2" xfId="210" xr:uid="{00000000-0005-0000-0000-0000CB000000}"/>
    <cellStyle name="Comma 5 2 3" xfId="211" xr:uid="{00000000-0005-0000-0000-0000CC000000}"/>
    <cellStyle name="Comma 5 2 4" xfId="212" xr:uid="{00000000-0005-0000-0000-0000CD000000}"/>
    <cellStyle name="Comma 5 2 5" xfId="213" xr:uid="{00000000-0005-0000-0000-0000CE000000}"/>
    <cellStyle name="Comma 5 3" xfId="214" xr:uid="{00000000-0005-0000-0000-0000CF000000}"/>
    <cellStyle name="Comma 5 4" xfId="215" xr:uid="{00000000-0005-0000-0000-0000D0000000}"/>
    <cellStyle name="Comma 5 5" xfId="216" xr:uid="{00000000-0005-0000-0000-0000D1000000}"/>
    <cellStyle name="Comma 5 6" xfId="217" xr:uid="{00000000-0005-0000-0000-0000D2000000}"/>
    <cellStyle name="Comma 5 7" xfId="218" xr:uid="{00000000-0005-0000-0000-0000D3000000}"/>
    <cellStyle name="Comma 5 8" xfId="219" xr:uid="{00000000-0005-0000-0000-0000D4000000}"/>
    <cellStyle name="Comma 50" xfId="220" xr:uid="{00000000-0005-0000-0000-0000D5000000}"/>
    <cellStyle name="Comma 51" xfId="221" xr:uid="{00000000-0005-0000-0000-0000D6000000}"/>
    <cellStyle name="Comma 52" xfId="222" xr:uid="{00000000-0005-0000-0000-0000D7000000}"/>
    <cellStyle name="Comma 52 2" xfId="223" xr:uid="{00000000-0005-0000-0000-0000D8000000}"/>
    <cellStyle name="Comma 53" xfId="224" xr:uid="{00000000-0005-0000-0000-0000D9000000}"/>
    <cellStyle name="Comma 54" xfId="225" xr:uid="{00000000-0005-0000-0000-0000DA000000}"/>
    <cellStyle name="Comma 55" xfId="226" xr:uid="{00000000-0005-0000-0000-0000DB000000}"/>
    <cellStyle name="Comma 56" xfId="227" xr:uid="{00000000-0005-0000-0000-0000DC000000}"/>
    <cellStyle name="Comma 57" xfId="228" xr:uid="{00000000-0005-0000-0000-0000DD000000}"/>
    <cellStyle name="Comma 58" xfId="229" xr:uid="{00000000-0005-0000-0000-0000DE000000}"/>
    <cellStyle name="Comma 59" xfId="230" xr:uid="{00000000-0005-0000-0000-0000DF000000}"/>
    <cellStyle name="Comma 6" xfId="22" xr:uid="{00000000-0005-0000-0000-0000E0000000}"/>
    <cellStyle name="Comma 6 2" xfId="231" xr:uid="{00000000-0005-0000-0000-0000E1000000}"/>
    <cellStyle name="Comma 6 2 2" xfId="232" xr:uid="{00000000-0005-0000-0000-0000E2000000}"/>
    <cellStyle name="Comma 6 2 3" xfId="233" xr:uid="{00000000-0005-0000-0000-0000E3000000}"/>
    <cellStyle name="Comma 6 3" xfId="234" xr:uid="{00000000-0005-0000-0000-0000E4000000}"/>
    <cellStyle name="Comma 6 4" xfId="235" xr:uid="{00000000-0005-0000-0000-0000E5000000}"/>
    <cellStyle name="Comma 6 5" xfId="236" xr:uid="{00000000-0005-0000-0000-0000E6000000}"/>
    <cellStyle name="Comma 6 6" xfId="237" xr:uid="{00000000-0005-0000-0000-0000E7000000}"/>
    <cellStyle name="Comma 6 7" xfId="963" xr:uid="{00000000-0005-0000-0000-0000E8000000}"/>
    <cellStyle name="Comma 60" xfId="238" xr:uid="{00000000-0005-0000-0000-0000E9000000}"/>
    <cellStyle name="Comma 61" xfId="239" xr:uid="{00000000-0005-0000-0000-0000EA000000}"/>
    <cellStyle name="Comma 62" xfId="240" xr:uid="{00000000-0005-0000-0000-0000EB000000}"/>
    <cellStyle name="Comma 63" xfId="241" xr:uid="{00000000-0005-0000-0000-0000EC000000}"/>
    <cellStyle name="Comma 64" xfId="242" xr:uid="{00000000-0005-0000-0000-0000ED000000}"/>
    <cellStyle name="Comma 65" xfId="964" xr:uid="{00000000-0005-0000-0000-0000EE000000}"/>
    <cellStyle name="Comma 7" xfId="243" xr:uid="{00000000-0005-0000-0000-0000EF000000}"/>
    <cellStyle name="Comma 7 2" xfId="244" xr:uid="{00000000-0005-0000-0000-0000F0000000}"/>
    <cellStyle name="Comma 7 3" xfId="245" xr:uid="{00000000-0005-0000-0000-0000F1000000}"/>
    <cellStyle name="Comma 7 4" xfId="246" xr:uid="{00000000-0005-0000-0000-0000F2000000}"/>
    <cellStyle name="Comma 7 5" xfId="247" xr:uid="{00000000-0005-0000-0000-0000F3000000}"/>
    <cellStyle name="Comma 7 6" xfId="248" xr:uid="{00000000-0005-0000-0000-0000F4000000}"/>
    <cellStyle name="Comma 74" xfId="984" xr:uid="{EDE6EE1D-647A-4453-8AF7-DE21A782D43E}"/>
    <cellStyle name="Comma 8" xfId="249" xr:uid="{00000000-0005-0000-0000-0000F5000000}"/>
    <cellStyle name="Comma 8 2" xfId="250" xr:uid="{00000000-0005-0000-0000-0000F6000000}"/>
    <cellStyle name="Comma 8 3" xfId="251" xr:uid="{00000000-0005-0000-0000-0000F7000000}"/>
    <cellStyle name="Comma 8 4" xfId="252" xr:uid="{00000000-0005-0000-0000-0000F8000000}"/>
    <cellStyle name="Comma 8 5" xfId="253" xr:uid="{00000000-0005-0000-0000-0000F9000000}"/>
    <cellStyle name="Comma 8 6" xfId="254" xr:uid="{00000000-0005-0000-0000-0000FA000000}"/>
    <cellStyle name="Comma 9" xfId="255" xr:uid="{00000000-0005-0000-0000-0000FB000000}"/>
    <cellStyle name="Comma 9 2" xfId="256" xr:uid="{00000000-0005-0000-0000-0000FC000000}"/>
    <cellStyle name="Comma 9 3" xfId="257" xr:uid="{00000000-0005-0000-0000-0000FD000000}"/>
    <cellStyle name="Comma 9 4" xfId="258" xr:uid="{00000000-0005-0000-0000-0000FE000000}"/>
    <cellStyle name="Comma 9 5" xfId="259" xr:uid="{00000000-0005-0000-0000-0000FF000000}"/>
    <cellStyle name="Comma 9 6" xfId="260" xr:uid="{00000000-0005-0000-0000-000000010000}"/>
    <cellStyle name="Commentaire" xfId="261" xr:uid="{00000000-0005-0000-0000-000001010000}"/>
    <cellStyle name="Commentaire 2" xfId="262" xr:uid="{00000000-0005-0000-0000-000002010000}"/>
    <cellStyle name="Commentaire 2 2" xfId="263" xr:uid="{00000000-0005-0000-0000-000003010000}"/>
    <cellStyle name="Commentaire 3" xfId="264" xr:uid="{00000000-0005-0000-0000-000004010000}"/>
    <cellStyle name="Currency 2" xfId="265" xr:uid="{00000000-0005-0000-0000-000005010000}"/>
    <cellStyle name="Currency 2 2" xfId="266" xr:uid="{00000000-0005-0000-0000-000006010000}"/>
    <cellStyle name="Currency 2 3" xfId="267" xr:uid="{00000000-0005-0000-0000-000007010000}"/>
    <cellStyle name="Currency 3" xfId="268" xr:uid="{00000000-0005-0000-0000-000008010000}"/>
    <cellStyle name="Currency 3 2" xfId="269" xr:uid="{00000000-0005-0000-0000-000009010000}"/>
    <cellStyle name="Currency 3 2 2" xfId="270" xr:uid="{00000000-0005-0000-0000-00000A010000}"/>
    <cellStyle name="Currency 3 3" xfId="271" xr:uid="{00000000-0005-0000-0000-00000B010000}"/>
    <cellStyle name="Currency 4" xfId="272" xr:uid="{00000000-0005-0000-0000-00000C010000}"/>
    <cellStyle name="Currency 5" xfId="273" xr:uid="{00000000-0005-0000-0000-00000D010000}"/>
    <cellStyle name="Currency 6" xfId="274" xr:uid="{00000000-0005-0000-0000-00000E010000}"/>
    <cellStyle name="Currency 7" xfId="275" xr:uid="{00000000-0005-0000-0000-00000F010000}"/>
    <cellStyle name="Currency 8" xfId="276" xr:uid="{00000000-0005-0000-0000-000010010000}"/>
    <cellStyle name="Currency 9" xfId="965" xr:uid="{00000000-0005-0000-0000-000011010000}"/>
    <cellStyle name="DataPilot Category" xfId="277" xr:uid="{00000000-0005-0000-0000-000012010000}"/>
    <cellStyle name="DataPilot Category 2" xfId="278" xr:uid="{00000000-0005-0000-0000-000013010000}"/>
    <cellStyle name="DataPilot Category 3" xfId="279" xr:uid="{00000000-0005-0000-0000-000014010000}"/>
    <cellStyle name="DataPilot Corner" xfId="280" xr:uid="{00000000-0005-0000-0000-000015010000}"/>
    <cellStyle name="DataPilot Corner 2" xfId="281" xr:uid="{00000000-0005-0000-0000-000016010000}"/>
    <cellStyle name="DataPilot Corner 3" xfId="282" xr:uid="{00000000-0005-0000-0000-000017010000}"/>
    <cellStyle name="DataPilot Field" xfId="283" xr:uid="{00000000-0005-0000-0000-000018010000}"/>
    <cellStyle name="DataPilot Field 2" xfId="284" xr:uid="{00000000-0005-0000-0000-000019010000}"/>
    <cellStyle name="DataPilot Field 3" xfId="285" xr:uid="{00000000-0005-0000-0000-00001A010000}"/>
    <cellStyle name="DataPilot Result" xfId="286" xr:uid="{00000000-0005-0000-0000-00001B010000}"/>
    <cellStyle name="DataPilot Result 2" xfId="287" xr:uid="{00000000-0005-0000-0000-00001C010000}"/>
    <cellStyle name="DataPilot Result 3" xfId="288" xr:uid="{00000000-0005-0000-0000-00001D010000}"/>
    <cellStyle name="DataPilot Title" xfId="289" xr:uid="{00000000-0005-0000-0000-00001E010000}"/>
    <cellStyle name="DataPilot Title 2" xfId="290" xr:uid="{00000000-0005-0000-0000-00001F010000}"/>
    <cellStyle name="DataPilot Title 3" xfId="291" xr:uid="{00000000-0005-0000-0000-000020010000}"/>
    <cellStyle name="DataPilot Value" xfId="292" xr:uid="{00000000-0005-0000-0000-000021010000}"/>
    <cellStyle name="DataPilot Value 2" xfId="293" xr:uid="{00000000-0005-0000-0000-000022010000}"/>
    <cellStyle name="DataPilot Value 3" xfId="294" xr:uid="{00000000-0005-0000-0000-000023010000}"/>
    <cellStyle name="Entrée" xfId="295" xr:uid="{00000000-0005-0000-0000-000024010000}"/>
    <cellStyle name="Entrée 2" xfId="296" xr:uid="{00000000-0005-0000-0000-000025010000}"/>
    <cellStyle name="Entrée 2 2" xfId="297" xr:uid="{00000000-0005-0000-0000-000026010000}"/>
    <cellStyle name="Entrée 3" xfId="298" xr:uid="{00000000-0005-0000-0000-000027010000}"/>
    <cellStyle name="Euro" xfId="299" xr:uid="{00000000-0005-0000-0000-000028010000}"/>
    <cellStyle name="Excel Built-in Normal" xfId="300" xr:uid="{00000000-0005-0000-0000-000029010000}"/>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Heading" xfId="301" xr:uid="{00000000-0005-0000-0000-000030010000}"/>
    <cellStyle name="Heading1" xfId="302" xr:uid="{00000000-0005-0000-0000-000031010000}"/>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2" xfId="303" xr:uid="{00000000-0005-0000-0000-000038010000}"/>
    <cellStyle name="Hyperlink 2 2" xfId="304" xr:uid="{00000000-0005-0000-0000-000039010000}"/>
    <cellStyle name="Hyperlink 3" xfId="305" xr:uid="{00000000-0005-0000-0000-00003A010000}"/>
    <cellStyle name="JAMES" xfId="306" xr:uid="{00000000-0005-0000-0000-00003B010000}"/>
    <cellStyle name="Komma 2" xfId="307" xr:uid="{00000000-0005-0000-0000-00003C010000}"/>
    <cellStyle name="Komma 2 2" xfId="308" xr:uid="{00000000-0005-0000-0000-00003D010000}"/>
    <cellStyle name="Komma 2 3" xfId="309" xr:uid="{00000000-0005-0000-0000-00003E010000}"/>
    <cellStyle name="Komma 2 4" xfId="310" xr:uid="{00000000-0005-0000-0000-00003F010000}"/>
    <cellStyle name="Komma 2 5" xfId="311" xr:uid="{00000000-0005-0000-0000-000040010000}"/>
    <cellStyle name="Lbs" xfId="312" xr:uid="{00000000-0005-0000-0000-000041010000}"/>
    <cellStyle name="Lbs 2" xfId="313" xr:uid="{00000000-0005-0000-0000-000042010000}"/>
    <cellStyle name="Lbs 3" xfId="314" xr:uid="{00000000-0005-0000-0000-000043010000}"/>
    <cellStyle name="Lbs 4" xfId="315" xr:uid="{00000000-0005-0000-0000-000044010000}"/>
    <cellStyle name="Millares [0]_AH Wau Budget_Watsan" xfId="316" xr:uid="{00000000-0005-0000-0000-000045010000}"/>
    <cellStyle name="Millares_AH Wau Budget_Watsan" xfId="317" xr:uid="{00000000-0005-0000-0000-000046010000}"/>
    <cellStyle name="Milliers 2" xfId="318" xr:uid="{00000000-0005-0000-0000-000047010000}"/>
    <cellStyle name="Milliers_OFDA_Indonesia_Budget_May_26_08to_submit" xfId="319" xr:uid="{00000000-0005-0000-0000-000048010000}"/>
    <cellStyle name="No" xfId="320" xr:uid="{00000000-0005-0000-0000-000049010000}"/>
    <cellStyle name="Normal" xfId="0" builtinId="0"/>
    <cellStyle name="Normal 10" xfId="321" xr:uid="{00000000-0005-0000-0000-00004B010000}"/>
    <cellStyle name="Normal 10 2" xfId="322" xr:uid="{00000000-0005-0000-0000-00004C010000}"/>
    <cellStyle name="Normal 10 3" xfId="323" xr:uid="{00000000-0005-0000-0000-00004D010000}"/>
    <cellStyle name="Normal 10 4" xfId="324" xr:uid="{00000000-0005-0000-0000-00004E010000}"/>
    <cellStyle name="Normal 10 5" xfId="325" xr:uid="{00000000-0005-0000-0000-00004F010000}"/>
    <cellStyle name="Normal 10 6" xfId="326" xr:uid="{00000000-0005-0000-0000-000050010000}"/>
    <cellStyle name="Normal 100" xfId="327" xr:uid="{00000000-0005-0000-0000-000051010000}"/>
    <cellStyle name="Normal 101" xfId="983" xr:uid="{A378172E-3FD1-41E9-8360-01B960783A54}"/>
    <cellStyle name="Normal 11" xfId="328" xr:uid="{00000000-0005-0000-0000-000052010000}"/>
    <cellStyle name="Normal 11 2" xfId="329" xr:uid="{00000000-0005-0000-0000-000053010000}"/>
    <cellStyle name="Normal 11 3" xfId="330" xr:uid="{00000000-0005-0000-0000-000054010000}"/>
    <cellStyle name="Normal 11 4" xfId="331" xr:uid="{00000000-0005-0000-0000-000055010000}"/>
    <cellStyle name="Normal 11 5" xfId="332" xr:uid="{00000000-0005-0000-0000-000056010000}"/>
    <cellStyle name="Normal 11 6" xfId="333" xr:uid="{00000000-0005-0000-0000-000057010000}"/>
    <cellStyle name="Normal 11 8" xfId="334" xr:uid="{00000000-0005-0000-0000-000058010000}"/>
    <cellStyle name="Normal 12" xfId="335" xr:uid="{00000000-0005-0000-0000-000059010000}"/>
    <cellStyle name="Normal 12 2" xfId="336" xr:uid="{00000000-0005-0000-0000-00005A010000}"/>
    <cellStyle name="Normal 12 3" xfId="337" xr:uid="{00000000-0005-0000-0000-00005B010000}"/>
    <cellStyle name="Normal 12 4" xfId="338" xr:uid="{00000000-0005-0000-0000-00005C010000}"/>
    <cellStyle name="Normal 12 5" xfId="339" xr:uid="{00000000-0005-0000-0000-00005D010000}"/>
    <cellStyle name="Normal 12 6" xfId="340" xr:uid="{00000000-0005-0000-0000-00005E010000}"/>
    <cellStyle name="Normal 13" xfId="341" xr:uid="{00000000-0005-0000-0000-00005F010000}"/>
    <cellStyle name="Normal 13 2" xfId="342" xr:uid="{00000000-0005-0000-0000-000060010000}"/>
    <cellStyle name="Normal 13 3" xfId="343" xr:uid="{00000000-0005-0000-0000-000061010000}"/>
    <cellStyle name="Normal 13 4" xfId="344" xr:uid="{00000000-0005-0000-0000-000062010000}"/>
    <cellStyle name="Normal 13 5" xfId="345" xr:uid="{00000000-0005-0000-0000-000063010000}"/>
    <cellStyle name="Normal 13 6" xfId="346" xr:uid="{00000000-0005-0000-0000-000064010000}"/>
    <cellStyle name="Normal 14" xfId="347" xr:uid="{00000000-0005-0000-0000-000065010000}"/>
    <cellStyle name="Normal 14 2" xfId="348" xr:uid="{00000000-0005-0000-0000-000066010000}"/>
    <cellStyle name="Normal 14 3" xfId="349" xr:uid="{00000000-0005-0000-0000-000067010000}"/>
    <cellStyle name="Normal 14 4" xfId="350" xr:uid="{00000000-0005-0000-0000-000068010000}"/>
    <cellStyle name="Normal 14 5" xfId="351" xr:uid="{00000000-0005-0000-0000-000069010000}"/>
    <cellStyle name="Normal 14 6" xfId="352" xr:uid="{00000000-0005-0000-0000-00006A010000}"/>
    <cellStyle name="Normal 15" xfId="353" xr:uid="{00000000-0005-0000-0000-00006B010000}"/>
    <cellStyle name="Normal 15 2" xfId="354" xr:uid="{00000000-0005-0000-0000-00006C010000}"/>
    <cellStyle name="Normal 15 3" xfId="355" xr:uid="{00000000-0005-0000-0000-00006D010000}"/>
    <cellStyle name="Normal 15 4" xfId="356" xr:uid="{00000000-0005-0000-0000-00006E010000}"/>
    <cellStyle name="Normal 15 5" xfId="357" xr:uid="{00000000-0005-0000-0000-00006F010000}"/>
    <cellStyle name="Normal 15 6" xfId="358" xr:uid="{00000000-0005-0000-0000-000070010000}"/>
    <cellStyle name="Normal 16" xfId="359" xr:uid="{00000000-0005-0000-0000-000071010000}"/>
    <cellStyle name="Normal 16 2" xfId="360" xr:uid="{00000000-0005-0000-0000-000072010000}"/>
    <cellStyle name="Normal 16 3" xfId="361" xr:uid="{00000000-0005-0000-0000-000073010000}"/>
    <cellStyle name="Normal 16 4" xfId="362" xr:uid="{00000000-0005-0000-0000-000074010000}"/>
    <cellStyle name="Normal 16 5" xfId="363" xr:uid="{00000000-0005-0000-0000-000075010000}"/>
    <cellStyle name="Normal 16 6" xfId="364" xr:uid="{00000000-0005-0000-0000-000076010000}"/>
    <cellStyle name="Normal 17" xfId="365" xr:uid="{00000000-0005-0000-0000-000077010000}"/>
    <cellStyle name="Normal 17 2" xfId="366" xr:uid="{00000000-0005-0000-0000-000078010000}"/>
    <cellStyle name="Normal 17 3" xfId="367" xr:uid="{00000000-0005-0000-0000-000079010000}"/>
    <cellStyle name="Normal 17 4" xfId="368" xr:uid="{00000000-0005-0000-0000-00007A010000}"/>
    <cellStyle name="Normal 17 5" xfId="369" xr:uid="{00000000-0005-0000-0000-00007B010000}"/>
    <cellStyle name="Normal 17 6" xfId="370" xr:uid="{00000000-0005-0000-0000-00007C010000}"/>
    <cellStyle name="Normal 18" xfId="371" xr:uid="{00000000-0005-0000-0000-00007D010000}"/>
    <cellStyle name="Normal 18 2" xfId="372" xr:uid="{00000000-0005-0000-0000-00007E010000}"/>
    <cellStyle name="Normal 18 2 2" xfId="373" xr:uid="{00000000-0005-0000-0000-00007F010000}"/>
    <cellStyle name="Normal 18 3" xfId="374" xr:uid="{00000000-0005-0000-0000-000080010000}"/>
    <cellStyle name="Normal 18 4" xfId="375" xr:uid="{00000000-0005-0000-0000-000081010000}"/>
    <cellStyle name="Normal 18 5" xfId="376" xr:uid="{00000000-0005-0000-0000-000082010000}"/>
    <cellStyle name="Normal 18 6" xfId="377" xr:uid="{00000000-0005-0000-0000-000083010000}"/>
    <cellStyle name="Normal 19" xfId="378" xr:uid="{00000000-0005-0000-0000-000084010000}"/>
    <cellStyle name="Normal 19 2" xfId="379" xr:uid="{00000000-0005-0000-0000-000085010000}"/>
    <cellStyle name="Normal 19 2 2" xfId="380" xr:uid="{00000000-0005-0000-0000-000086010000}"/>
    <cellStyle name="Normal 19 3" xfId="381" xr:uid="{00000000-0005-0000-0000-000087010000}"/>
    <cellStyle name="Normal 19 4" xfId="382" xr:uid="{00000000-0005-0000-0000-000088010000}"/>
    <cellStyle name="Normal 19 5" xfId="383" xr:uid="{00000000-0005-0000-0000-000089010000}"/>
    <cellStyle name="Normal 19 6" xfId="384" xr:uid="{00000000-0005-0000-0000-00008A010000}"/>
    <cellStyle name="Normal 2" xfId="23" xr:uid="{00000000-0005-0000-0000-00008B010000}"/>
    <cellStyle name="Normal 2 10" xfId="385" xr:uid="{00000000-0005-0000-0000-00008C010000}"/>
    <cellStyle name="Normal 2 11" xfId="386" xr:uid="{00000000-0005-0000-0000-00008D010000}"/>
    <cellStyle name="Normal 2 12" xfId="387" xr:uid="{00000000-0005-0000-0000-00008E010000}"/>
    <cellStyle name="Normal 2 13" xfId="388" xr:uid="{00000000-0005-0000-0000-00008F010000}"/>
    <cellStyle name="Normal 2 14" xfId="389" xr:uid="{00000000-0005-0000-0000-000090010000}"/>
    <cellStyle name="Normal 2 15" xfId="390" xr:uid="{00000000-0005-0000-0000-000091010000}"/>
    <cellStyle name="Normal 2 16" xfId="391" xr:uid="{00000000-0005-0000-0000-000092010000}"/>
    <cellStyle name="Normal 2 17" xfId="392" xr:uid="{00000000-0005-0000-0000-000093010000}"/>
    <cellStyle name="Normal 2 18" xfId="393" xr:uid="{00000000-0005-0000-0000-000094010000}"/>
    <cellStyle name="Normal 2 19" xfId="394" xr:uid="{00000000-0005-0000-0000-000095010000}"/>
    <cellStyle name="Normal 2 19 2" xfId="395" xr:uid="{00000000-0005-0000-0000-000096010000}"/>
    <cellStyle name="Normal 2 19 3" xfId="396" xr:uid="{00000000-0005-0000-0000-000097010000}"/>
    <cellStyle name="Normal 2 2" xfId="24" xr:uid="{00000000-0005-0000-0000-000098010000}"/>
    <cellStyle name="Normal 2 2 2" xfId="25" xr:uid="{00000000-0005-0000-0000-000099010000}"/>
    <cellStyle name="Normal 2 2 2 10" xfId="397" xr:uid="{00000000-0005-0000-0000-00009A010000}"/>
    <cellStyle name="Normal 2 2 2 11" xfId="966" xr:uid="{00000000-0005-0000-0000-00009B010000}"/>
    <cellStyle name="Normal 2 2 2 2" xfId="398" xr:uid="{00000000-0005-0000-0000-00009C010000}"/>
    <cellStyle name="Normal 2 2 2 2 2" xfId="399" xr:uid="{00000000-0005-0000-0000-00009D010000}"/>
    <cellStyle name="Normal 2 2 2 3" xfId="400" xr:uid="{00000000-0005-0000-0000-00009E010000}"/>
    <cellStyle name="Normal 2 2 2 4" xfId="401" xr:uid="{00000000-0005-0000-0000-00009F010000}"/>
    <cellStyle name="Normal 2 2 2 4 2" xfId="402" xr:uid="{00000000-0005-0000-0000-0000A0010000}"/>
    <cellStyle name="Normal 2 2 2 5" xfId="403" xr:uid="{00000000-0005-0000-0000-0000A1010000}"/>
    <cellStyle name="Normal 2 2 2 6" xfId="404" xr:uid="{00000000-0005-0000-0000-0000A2010000}"/>
    <cellStyle name="Normal 2 2 2 7" xfId="405" xr:uid="{00000000-0005-0000-0000-0000A3010000}"/>
    <cellStyle name="Normal 2 2 2 7 2" xfId="406" xr:uid="{00000000-0005-0000-0000-0000A4010000}"/>
    <cellStyle name="Normal 2 2 2 7 2 2" xfId="407" xr:uid="{00000000-0005-0000-0000-0000A5010000}"/>
    <cellStyle name="Normal 2 2 2 8" xfId="408" xr:uid="{00000000-0005-0000-0000-0000A6010000}"/>
    <cellStyle name="Normal 2 2 2 9" xfId="409" xr:uid="{00000000-0005-0000-0000-0000A7010000}"/>
    <cellStyle name="Normal 2 2 3" xfId="410" xr:uid="{00000000-0005-0000-0000-0000A8010000}"/>
    <cellStyle name="Normal 2 2 3 2" xfId="411" xr:uid="{00000000-0005-0000-0000-0000A9010000}"/>
    <cellStyle name="Normal 2 2 4" xfId="412" xr:uid="{00000000-0005-0000-0000-0000AA010000}"/>
    <cellStyle name="Normal 2 2 4 2" xfId="413" xr:uid="{00000000-0005-0000-0000-0000AB010000}"/>
    <cellStyle name="Normal 2 2 46" xfId="414" xr:uid="{00000000-0005-0000-0000-0000AC010000}"/>
    <cellStyle name="Normal 2 2 5" xfId="415" xr:uid="{00000000-0005-0000-0000-0000AD010000}"/>
    <cellStyle name="Normal 2 2 5 2" xfId="416" xr:uid="{00000000-0005-0000-0000-0000AE010000}"/>
    <cellStyle name="Normal 2 2 6" xfId="417" xr:uid="{00000000-0005-0000-0000-0000AF010000}"/>
    <cellStyle name="Normal 2 2 6 2" xfId="418" xr:uid="{00000000-0005-0000-0000-0000B0010000}"/>
    <cellStyle name="Normal 2 2 7" xfId="419" xr:uid="{00000000-0005-0000-0000-0000B1010000}"/>
    <cellStyle name="Normal 2 2 7 2" xfId="420" xr:uid="{00000000-0005-0000-0000-0000B2010000}"/>
    <cellStyle name="Normal 2 2_Sheet3" xfId="421" xr:uid="{00000000-0005-0000-0000-0000B3010000}"/>
    <cellStyle name="Normal 2 20" xfId="422" xr:uid="{00000000-0005-0000-0000-0000B4010000}"/>
    <cellStyle name="Normal 2 21" xfId="423" xr:uid="{00000000-0005-0000-0000-0000B5010000}"/>
    <cellStyle name="Normal 2 22" xfId="424" xr:uid="{00000000-0005-0000-0000-0000B6010000}"/>
    <cellStyle name="Normal 2 23" xfId="425" xr:uid="{00000000-0005-0000-0000-0000B7010000}"/>
    <cellStyle name="Normal 2 24" xfId="426" xr:uid="{00000000-0005-0000-0000-0000B8010000}"/>
    <cellStyle name="Normal 2 25" xfId="427" xr:uid="{00000000-0005-0000-0000-0000B9010000}"/>
    <cellStyle name="Normal 2 26" xfId="428" xr:uid="{00000000-0005-0000-0000-0000BA010000}"/>
    <cellStyle name="Normal 2 27" xfId="429" xr:uid="{00000000-0005-0000-0000-0000BB010000}"/>
    <cellStyle name="Normal 2 28" xfId="430" xr:uid="{00000000-0005-0000-0000-0000BC010000}"/>
    <cellStyle name="Normal 2 29" xfId="431" xr:uid="{00000000-0005-0000-0000-0000BD010000}"/>
    <cellStyle name="Normal 2 3" xfId="26" xr:uid="{00000000-0005-0000-0000-0000BE010000}"/>
    <cellStyle name="Normal 2 3 2" xfId="432" xr:uid="{00000000-0005-0000-0000-0000BF010000}"/>
    <cellStyle name="Normal 2 3 2 2" xfId="433" xr:uid="{00000000-0005-0000-0000-0000C0010000}"/>
    <cellStyle name="Normal 2 3 3" xfId="434" xr:uid="{00000000-0005-0000-0000-0000C1010000}"/>
    <cellStyle name="Normal 2 3_Xl0000251" xfId="435" xr:uid="{00000000-0005-0000-0000-0000C2010000}"/>
    <cellStyle name="Normal 2 30" xfId="436" xr:uid="{00000000-0005-0000-0000-0000C3010000}"/>
    <cellStyle name="Normal 2 31" xfId="437" xr:uid="{00000000-0005-0000-0000-0000C4010000}"/>
    <cellStyle name="Normal 2 4" xfId="438" xr:uid="{00000000-0005-0000-0000-0000C5010000}"/>
    <cellStyle name="Normal 2 4 2" xfId="439" xr:uid="{00000000-0005-0000-0000-0000C6010000}"/>
    <cellStyle name="Normal 2 5" xfId="440" xr:uid="{00000000-0005-0000-0000-0000C7010000}"/>
    <cellStyle name="Normal 2 6" xfId="441" xr:uid="{00000000-0005-0000-0000-0000C8010000}"/>
    <cellStyle name="Normal 2 7" xfId="442" xr:uid="{00000000-0005-0000-0000-0000C9010000}"/>
    <cellStyle name="Normal 2 8" xfId="443" xr:uid="{00000000-0005-0000-0000-0000CA010000}"/>
    <cellStyle name="Normal 2 9" xfId="444" xr:uid="{00000000-0005-0000-0000-0000CB010000}"/>
    <cellStyle name="Normal 2_April-2011 Payroll" xfId="445" xr:uid="{00000000-0005-0000-0000-0000CC010000}"/>
    <cellStyle name="Normal 20" xfId="446" xr:uid="{00000000-0005-0000-0000-0000CD010000}"/>
    <cellStyle name="Normal 20 2" xfId="447" xr:uid="{00000000-0005-0000-0000-0000CE010000}"/>
    <cellStyle name="Normal 20 3" xfId="448" xr:uid="{00000000-0005-0000-0000-0000CF010000}"/>
    <cellStyle name="Normal 20 4" xfId="449" xr:uid="{00000000-0005-0000-0000-0000D0010000}"/>
    <cellStyle name="Normal 20 5" xfId="450" xr:uid="{00000000-0005-0000-0000-0000D1010000}"/>
    <cellStyle name="Normal 20 6" xfId="451" xr:uid="{00000000-0005-0000-0000-0000D2010000}"/>
    <cellStyle name="Normal 21" xfId="452" xr:uid="{00000000-0005-0000-0000-0000D3010000}"/>
    <cellStyle name="Normal 21 2" xfId="453" xr:uid="{00000000-0005-0000-0000-0000D4010000}"/>
    <cellStyle name="Normal 21 3" xfId="454" xr:uid="{00000000-0005-0000-0000-0000D5010000}"/>
    <cellStyle name="Normal 21 4" xfId="455" xr:uid="{00000000-0005-0000-0000-0000D6010000}"/>
    <cellStyle name="Normal 21 5" xfId="456" xr:uid="{00000000-0005-0000-0000-0000D7010000}"/>
    <cellStyle name="Normal 21 6" xfId="457" xr:uid="{00000000-0005-0000-0000-0000D8010000}"/>
    <cellStyle name="Normal 22" xfId="458" xr:uid="{00000000-0005-0000-0000-0000D9010000}"/>
    <cellStyle name="Normal 22 2" xfId="459" xr:uid="{00000000-0005-0000-0000-0000DA010000}"/>
    <cellStyle name="Normal 22 2 2" xfId="460" xr:uid="{00000000-0005-0000-0000-0000DB010000}"/>
    <cellStyle name="Normal 22 2 3" xfId="461" xr:uid="{00000000-0005-0000-0000-0000DC010000}"/>
    <cellStyle name="Normal 22 3" xfId="462" xr:uid="{00000000-0005-0000-0000-0000DD010000}"/>
    <cellStyle name="Normal 22 4" xfId="463" xr:uid="{00000000-0005-0000-0000-0000DE010000}"/>
    <cellStyle name="Normal 22 5" xfId="464" xr:uid="{00000000-0005-0000-0000-0000DF010000}"/>
    <cellStyle name="Normal 22 6" xfId="465" xr:uid="{00000000-0005-0000-0000-0000E0010000}"/>
    <cellStyle name="Normal 23" xfId="466" xr:uid="{00000000-0005-0000-0000-0000E1010000}"/>
    <cellStyle name="Normal 23 2" xfId="467" xr:uid="{00000000-0005-0000-0000-0000E2010000}"/>
    <cellStyle name="Normal 23 2 2" xfId="468" xr:uid="{00000000-0005-0000-0000-0000E3010000}"/>
    <cellStyle name="Normal 23 3" xfId="469" xr:uid="{00000000-0005-0000-0000-0000E4010000}"/>
    <cellStyle name="Normal 23 4" xfId="470" xr:uid="{00000000-0005-0000-0000-0000E5010000}"/>
    <cellStyle name="Normal 23 5" xfId="471" xr:uid="{00000000-0005-0000-0000-0000E6010000}"/>
    <cellStyle name="Normal 23 6" xfId="472" xr:uid="{00000000-0005-0000-0000-0000E7010000}"/>
    <cellStyle name="Normal 24" xfId="473" xr:uid="{00000000-0005-0000-0000-0000E8010000}"/>
    <cellStyle name="Normal 24 2" xfId="474" xr:uid="{00000000-0005-0000-0000-0000E9010000}"/>
    <cellStyle name="Normal 24 3" xfId="475" xr:uid="{00000000-0005-0000-0000-0000EA010000}"/>
    <cellStyle name="Normal 24 4" xfId="476" xr:uid="{00000000-0005-0000-0000-0000EB010000}"/>
    <cellStyle name="Normal 24 5" xfId="477" xr:uid="{00000000-0005-0000-0000-0000EC010000}"/>
    <cellStyle name="Normal 24 6" xfId="478" xr:uid="{00000000-0005-0000-0000-0000ED010000}"/>
    <cellStyle name="Normal 25" xfId="479" xr:uid="{00000000-0005-0000-0000-0000EE010000}"/>
    <cellStyle name="Normal 25 2" xfId="480" xr:uid="{00000000-0005-0000-0000-0000EF010000}"/>
    <cellStyle name="Normal 25 3" xfId="481" xr:uid="{00000000-0005-0000-0000-0000F0010000}"/>
    <cellStyle name="Normal 25 4" xfId="482" xr:uid="{00000000-0005-0000-0000-0000F1010000}"/>
    <cellStyle name="Normal 25 5" xfId="483" xr:uid="{00000000-0005-0000-0000-0000F2010000}"/>
    <cellStyle name="Normal 25 6" xfId="484" xr:uid="{00000000-0005-0000-0000-0000F3010000}"/>
    <cellStyle name="Normal 26" xfId="485" xr:uid="{00000000-0005-0000-0000-0000F4010000}"/>
    <cellStyle name="Normal 26 2" xfId="486" xr:uid="{00000000-0005-0000-0000-0000F5010000}"/>
    <cellStyle name="Normal 26 3" xfId="487" xr:uid="{00000000-0005-0000-0000-0000F6010000}"/>
    <cellStyle name="Normal 26 4" xfId="488" xr:uid="{00000000-0005-0000-0000-0000F7010000}"/>
    <cellStyle name="Normal 26 5" xfId="489" xr:uid="{00000000-0005-0000-0000-0000F8010000}"/>
    <cellStyle name="Normal 26 6" xfId="490" xr:uid="{00000000-0005-0000-0000-0000F9010000}"/>
    <cellStyle name="Normal 27" xfId="491" xr:uid="{00000000-0005-0000-0000-0000FA010000}"/>
    <cellStyle name="Normal 27 2" xfId="492" xr:uid="{00000000-0005-0000-0000-0000FB010000}"/>
    <cellStyle name="Normal 27 2 2" xfId="493" xr:uid="{00000000-0005-0000-0000-0000FC010000}"/>
    <cellStyle name="Normal 27 2 3" xfId="494" xr:uid="{00000000-0005-0000-0000-0000FD010000}"/>
    <cellStyle name="Normal 27 3" xfId="495" xr:uid="{00000000-0005-0000-0000-0000FE010000}"/>
    <cellStyle name="Normal 27 4" xfId="496" xr:uid="{00000000-0005-0000-0000-0000FF010000}"/>
    <cellStyle name="Normal 27 5" xfId="497" xr:uid="{00000000-0005-0000-0000-000000020000}"/>
    <cellStyle name="Normal 27 6" xfId="498" xr:uid="{00000000-0005-0000-0000-000001020000}"/>
    <cellStyle name="Normal 28" xfId="499" xr:uid="{00000000-0005-0000-0000-000002020000}"/>
    <cellStyle name="Normal 28 2" xfId="500" xr:uid="{00000000-0005-0000-0000-000003020000}"/>
    <cellStyle name="Normal 28 2 2" xfId="501" xr:uid="{00000000-0005-0000-0000-000004020000}"/>
    <cellStyle name="Normal 28 3" xfId="502" xr:uid="{00000000-0005-0000-0000-000005020000}"/>
    <cellStyle name="Normal 28 4" xfId="503" xr:uid="{00000000-0005-0000-0000-000006020000}"/>
    <cellStyle name="Normal 28 5" xfId="504" xr:uid="{00000000-0005-0000-0000-000007020000}"/>
    <cellStyle name="Normal 28 6" xfId="505" xr:uid="{00000000-0005-0000-0000-000008020000}"/>
    <cellStyle name="Normal 29" xfId="506" xr:uid="{00000000-0005-0000-0000-000009020000}"/>
    <cellStyle name="Normal 29 2" xfId="507" xr:uid="{00000000-0005-0000-0000-00000A020000}"/>
    <cellStyle name="Normal 29 3" xfId="508" xr:uid="{00000000-0005-0000-0000-00000B020000}"/>
    <cellStyle name="Normal 29 4" xfId="509" xr:uid="{00000000-0005-0000-0000-00000C020000}"/>
    <cellStyle name="Normal 29 5" xfId="510" xr:uid="{00000000-0005-0000-0000-00000D020000}"/>
    <cellStyle name="Normal 29 6" xfId="511" xr:uid="{00000000-0005-0000-0000-00000E020000}"/>
    <cellStyle name="Normal 3" xfId="27" xr:uid="{00000000-0005-0000-0000-00000F020000}"/>
    <cellStyle name="Normal 3 10" xfId="512" xr:uid="{00000000-0005-0000-0000-000010020000}"/>
    <cellStyle name="Normal 3 11" xfId="513" xr:uid="{00000000-0005-0000-0000-000011020000}"/>
    <cellStyle name="Normal 3 12" xfId="514" xr:uid="{00000000-0005-0000-0000-000012020000}"/>
    <cellStyle name="Normal 3 13" xfId="515" xr:uid="{00000000-0005-0000-0000-000013020000}"/>
    <cellStyle name="Normal 3 14" xfId="516" xr:uid="{00000000-0005-0000-0000-000014020000}"/>
    <cellStyle name="Normal 3 15" xfId="517" xr:uid="{00000000-0005-0000-0000-000015020000}"/>
    <cellStyle name="Normal 3 16" xfId="518" xr:uid="{00000000-0005-0000-0000-000016020000}"/>
    <cellStyle name="Normal 3 17" xfId="967" xr:uid="{00000000-0005-0000-0000-000017020000}"/>
    <cellStyle name="Normal 3 18" xfId="968" xr:uid="{00000000-0005-0000-0000-000018020000}"/>
    <cellStyle name="Normal 3 2" xfId="28" xr:uid="{00000000-0005-0000-0000-000019020000}"/>
    <cellStyle name="Normal 3 2 2" xfId="519" xr:uid="{00000000-0005-0000-0000-00001A020000}"/>
    <cellStyle name="Normal 3 2 3" xfId="520" xr:uid="{00000000-0005-0000-0000-00001B020000}"/>
    <cellStyle name="Normal 3 3" xfId="521" xr:uid="{00000000-0005-0000-0000-00001C020000}"/>
    <cellStyle name="Normal 3 4" xfId="522" xr:uid="{00000000-0005-0000-0000-00001D020000}"/>
    <cellStyle name="Normal 3 5" xfId="523" xr:uid="{00000000-0005-0000-0000-00001E020000}"/>
    <cellStyle name="Normal 3 6" xfId="524" xr:uid="{00000000-0005-0000-0000-00001F020000}"/>
    <cellStyle name="Normal 3 7" xfId="525" xr:uid="{00000000-0005-0000-0000-000020020000}"/>
    <cellStyle name="Normal 3 8" xfId="526" xr:uid="{00000000-0005-0000-0000-000021020000}"/>
    <cellStyle name="Normal 3 9" xfId="527" xr:uid="{00000000-0005-0000-0000-000022020000}"/>
    <cellStyle name="Normal 30" xfId="528" xr:uid="{00000000-0005-0000-0000-000023020000}"/>
    <cellStyle name="Normal 30 2" xfId="529" xr:uid="{00000000-0005-0000-0000-000024020000}"/>
    <cellStyle name="Normal 30 3" xfId="530" xr:uid="{00000000-0005-0000-0000-000025020000}"/>
    <cellStyle name="Normal 30 4" xfId="531" xr:uid="{00000000-0005-0000-0000-000026020000}"/>
    <cellStyle name="Normal 30 5" xfId="532" xr:uid="{00000000-0005-0000-0000-000027020000}"/>
    <cellStyle name="Normal 30 6" xfId="533" xr:uid="{00000000-0005-0000-0000-000028020000}"/>
    <cellStyle name="Normal 31" xfId="534" xr:uid="{00000000-0005-0000-0000-000029020000}"/>
    <cellStyle name="Normal 31 2" xfId="535" xr:uid="{00000000-0005-0000-0000-00002A020000}"/>
    <cellStyle name="Normal 31 3" xfId="536" xr:uid="{00000000-0005-0000-0000-00002B020000}"/>
    <cellStyle name="Normal 31 4" xfId="537" xr:uid="{00000000-0005-0000-0000-00002C020000}"/>
    <cellStyle name="Normal 31 5" xfId="538" xr:uid="{00000000-0005-0000-0000-00002D020000}"/>
    <cellStyle name="Normal 31 6" xfId="539" xr:uid="{00000000-0005-0000-0000-00002E020000}"/>
    <cellStyle name="Normal 32" xfId="540" xr:uid="{00000000-0005-0000-0000-00002F020000}"/>
    <cellStyle name="Normal 32 2" xfId="541" xr:uid="{00000000-0005-0000-0000-000030020000}"/>
    <cellStyle name="Normal 32 3" xfId="542" xr:uid="{00000000-0005-0000-0000-000031020000}"/>
    <cellStyle name="Normal 32 4" xfId="543" xr:uid="{00000000-0005-0000-0000-000032020000}"/>
    <cellStyle name="Normal 32 5" xfId="544" xr:uid="{00000000-0005-0000-0000-000033020000}"/>
    <cellStyle name="Normal 32 6" xfId="545" xr:uid="{00000000-0005-0000-0000-000034020000}"/>
    <cellStyle name="Normal 33" xfId="546" xr:uid="{00000000-0005-0000-0000-000035020000}"/>
    <cellStyle name="Normal 33 2" xfId="547" xr:uid="{00000000-0005-0000-0000-000036020000}"/>
    <cellStyle name="Normal 33 3" xfId="548" xr:uid="{00000000-0005-0000-0000-000037020000}"/>
    <cellStyle name="Normal 33 4" xfId="549" xr:uid="{00000000-0005-0000-0000-000038020000}"/>
    <cellStyle name="Normal 33 5" xfId="550" xr:uid="{00000000-0005-0000-0000-000039020000}"/>
    <cellStyle name="Normal 33 6" xfId="551" xr:uid="{00000000-0005-0000-0000-00003A020000}"/>
    <cellStyle name="Normal 34" xfId="552" xr:uid="{00000000-0005-0000-0000-00003B020000}"/>
    <cellStyle name="Normal 34 2" xfId="553" xr:uid="{00000000-0005-0000-0000-00003C020000}"/>
    <cellStyle name="Normal 34 3" xfId="554" xr:uid="{00000000-0005-0000-0000-00003D020000}"/>
    <cellStyle name="Normal 34 4" xfId="555" xr:uid="{00000000-0005-0000-0000-00003E020000}"/>
    <cellStyle name="Normal 34 5" xfId="556" xr:uid="{00000000-0005-0000-0000-00003F020000}"/>
    <cellStyle name="Normal 34 6" xfId="557" xr:uid="{00000000-0005-0000-0000-000040020000}"/>
    <cellStyle name="Normal 35" xfId="558" xr:uid="{00000000-0005-0000-0000-000041020000}"/>
    <cellStyle name="Normal 35 2" xfId="559" xr:uid="{00000000-0005-0000-0000-000042020000}"/>
    <cellStyle name="Normal 35 3" xfId="560" xr:uid="{00000000-0005-0000-0000-000043020000}"/>
    <cellStyle name="Normal 35 4" xfId="561" xr:uid="{00000000-0005-0000-0000-000044020000}"/>
    <cellStyle name="Normal 35 5" xfId="562" xr:uid="{00000000-0005-0000-0000-000045020000}"/>
    <cellStyle name="Normal 35 6" xfId="563" xr:uid="{00000000-0005-0000-0000-000046020000}"/>
    <cellStyle name="Normal 36" xfId="564" xr:uid="{00000000-0005-0000-0000-000047020000}"/>
    <cellStyle name="Normal 36 2" xfId="565" xr:uid="{00000000-0005-0000-0000-000048020000}"/>
    <cellStyle name="Normal 36 3" xfId="566" xr:uid="{00000000-0005-0000-0000-000049020000}"/>
    <cellStyle name="Normal 36 4" xfId="567" xr:uid="{00000000-0005-0000-0000-00004A020000}"/>
    <cellStyle name="Normal 36 5" xfId="568" xr:uid="{00000000-0005-0000-0000-00004B020000}"/>
    <cellStyle name="Normal 36 6" xfId="569" xr:uid="{00000000-0005-0000-0000-00004C020000}"/>
    <cellStyle name="Normal 37" xfId="570" xr:uid="{00000000-0005-0000-0000-00004D020000}"/>
    <cellStyle name="Normal 37 2" xfId="571" xr:uid="{00000000-0005-0000-0000-00004E020000}"/>
    <cellStyle name="Normal 37 3" xfId="572" xr:uid="{00000000-0005-0000-0000-00004F020000}"/>
    <cellStyle name="Normal 37 4" xfId="573" xr:uid="{00000000-0005-0000-0000-000050020000}"/>
    <cellStyle name="Normal 37 5" xfId="574" xr:uid="{00000000-0005-0000-0000-000051020000}"/>
    <cellStyle name="Normal 37 6" xfId="575" xr:uid="{00000000-0005-0000-0000-000052020000}"/>
    <cellStyle name="Normal 38" xfId="576" xr:uid="{00000000-0005-0000-0000-000053020000}"/>
    <cellStyle name="Normal 38 2" xfId="577" xr:uid="{00000000-0005-0000-0000-000054020000}"/>
    <cellStyle name="Normal 38 3" xfId="578" xr:uid="{00000000-0005-0000-0000-000055020000}"/>
    <cellStyle name="Normal 38 4" xfId="579" xr:uid="{00000000-0005-0000-0000-000056020000}"/>
    <cellStyle name="Normal 38 5" xfId="580" xr:uid="{00000000-0005-0000-0000-000057020000}"/>
    <cellStyle name="Normal 38 6" xfId="581" xr:uid="{00000000-0005-0000-0000-000058020000}"/>
    <cellStyle name="Normal 39" xfId="582" xr:uid="{00000000-0005-0000-0000-000059020000}"/>
    <cellStyle name="Normal 39 2" xfId="583" xr:uid="{00000000-0005-0000-0000-00005A020000}"/>
    <cellStyle name="Normal 39 3" xfId="584" xr:uid="{00000000-0005-0000-0000-00005B020000}"/>
    <cellStyle name="Normal 39 3 2" xfId="585" xr:uid="{00000000-0005-0000-0000-00005C020000}"/>
    <cellStyle name="Normal 39 4" xfId="586" xr:uid="{00000000-0005-0000-0000-00005D020000}"/>
    <cellStyle name="Normal 39 5" xfId="587" xr:uid="{00000000-0005-0000-0000-00005E020000}"/>
    <cellStyle name="Normal 39 6" xfId="588" xr:uid="{00000000-0005-0000-0000-00005F020000}"/>
    <cellStyle name="Normal 4" xfId="29" xr:uid="{00000000-0005-0000-0000-000060020000}"/>
    <cellStyle name="Normal 4 2" xfId="589" xr:uid="{00000000-0005-0000-0000-000061020000}"/>
    <cellStyle name="Normal 4 3" xfId="590" xr:uid="{00000000-0005-0000-0000-000062020000}"/>
    <cellStyle name="Normal 4 4" xfId="591" xr:uid="{00000000-0005-0000-0000-000063020000}"/>
    <cellStyle name="Normal 4 5" xfId="592" xr:uid="{00000000-0005-0000-0000-000064020000}"/>
    <cellStyle name="Normal 4 6" xfId="593" xr:uid="{00000000-0005-0000-0000-000065020000}"/>
    <cellStyle name="Normal 4 7" xfId="594" xr:uid="{00000000-0005-0000-0000-000066020000}"/>
    <cellStyle name="Normal 4 8" xfId="969" xr:uid="{00000000-0005-0000-0000-000067020000}"/>
    <cellStyle name="Normal 4_EC-VAC_Consolidate Budget 250413 rev ML_Edit" xfId="595" xr:uid="{00000000-0005-0000-0000-000068020000}"/>
    <cellStyle name="Normal 40" xfId="596" xr:uid="{00000000-0005-0000-0000-000069020000}"/>
    <cellStyle name="Normal 40 2" xfId="597" xr:uid="{00000000-0005-0000-0000-00006A020000}"/>
    <cellStyle name="Normal 40 3" xfId="598" xr:uid="{00000000-0005-0000-0000-00006B020000}"/>
    <cellStyle name="Normal 40 4" xfId="599" xr:uid="{00000000-0005-0000-0000-00006C020000}"/>
    <cellStyle name="Normal 40 5" xfId="600" xr:uid="{00000000-0005-0000-0000-00006D020000}"/>
    <cellStyle name="Normal 40 6" xfId="601" xr:uid="{00000000-0005-0000-0000-00006E020000}"/>
    <cellStyle name="Normal 41" xfId="602" xr:uid="{00000000-0005-0000-0000-00006F020000}"/>
    <cellStyle name="Normal 41 2" xfId="603" xr:uid="{00000000-0005-0000-0000-000070020000}"/>
    <cellStyle name="Normal 41 3" xfId="604" xr:uid="{00000000-0005-0000-0000-000071020000}"/>
    <cellStyle name="Normal 41 4" xfId="605" xr:uid="{00000000-0005-0000-0000-000072020000}"/>
    <cellStyle name="Normal 41 5" xfId="606" xr:uid="{00000000-0005-0000-0000-000073020000}"/>
    <cellStyle name="Normal 41 6" xfId="607" xr:uid="{00000000-0005-0000-0000-000074020000}"/>
    <cellStyle name="Normal 42" xfId="608" xr:uid="{00000000-0005-0000-0000-000075020000}"/>
    <cellStyle name="Normal 42 2" xfId="609" xr:uid="{00000000-0005-0000-0000-000076020000}"/>
    <cellStyle name="Normal 42 3" xfId="610" xr:uid="{00000000-0005-0000-0000-000077020000}"/>
    <cellStyle name="Normal 42 4" xfId="611" xr:uid="{00000000-0005-0000-0000-000078020000}"/>
    <cellStyle name="Normal 42 5" xfId="612" xr:uid="{00000000-0005-0000-0000-000079020000}"/>
    <cellStyle name="Normal 42 6" xfId="613" xr:uid="{00000000-0005-0000-0000-00007A020000}"/>
    <cellStyle name="Normal 43" xfId="614" xr:uid="{00000000-0005-0000-0000-00007B020000}"/>
    <cellStyle name="Normal 43 2" xfId="615" xr:uid="{00000000-0005-0000-0000-00007C020000}"/>
    <cellStyle name="Normal 43 3" xfId="616" xr:uid="{00000000-0005-0000-0000-00007D020000}"/>
    <cellStyle name="Normal 43 4" xfId="617" xr:uid="{00000000-0005-0000-0000-00007E020000}"/>
    <cellStyle name="Normal 43 5" xfId="618" xr:uid="{00000000-0005-0000-0000-00007F020000}"/>
    <cellStyle name="Normal 43 6" xfId="619" xr:uid="{00000000-0005-0000-0000-000080020000}"/>
    <cellStyle name="Normal 44" xfId="620" xr:uid="{00000000-0005-0000-0000-000081020000}"/>
    <cellStyle name="Normal 44 2" xfId="621" xr:uid="{00000000-0005-0000-0000-000082020000}"/>
    <cellStyle name="Normal 44 3" xfId="622" xr:uid="{00000000-0005-0000-0000-000083020000}"/>
    <cellStyle name="Normal 44 4" xfId="623" xr:uid="{00000000-0005-0000-0000-000084020000}"/>
    <cellStyle name="Normal 44 5" xfId="624" xr:uid="{00000000-0005-0000-0000-000085020000}"/>
    <cellStyle name="Normal 44 6" xfId="625" xr:uid="{00000000-0005-0000-0000-000086020000}"/>
    <cellStyle name="Normal 45" xfId="626" xr:uid="{00000000-0005-0000-0000-000087020000}"/>
    <cellStyle name="Normal 45 2" xfId="627" xr:uid="{00000000-0005-0000-0000-000088020000}"/>
    <cellStyle name="Normal 45 3" xfId="628" xr:uid="{00000000-0005-0000-0000-000089020000}"/>
    <cellStyle name="Normal 45 4" xfId="629" xr:uid="{00000000-0005-0000-0000-00008A020000}"/>
    <cellStyle name="Normal 45 5" xfId="630" xr:uid="{00000000-0005-0000-0000-00008B020000}"/>
    <cellStyle name="Normal 45 6" xfId="631" xr:uid="{00000000-0005-0000-0000-00008C020000}"/>
    <cellStyle name="Normal 46" xfId="632" xr:uid="{00000000-0005-0000-0000-00008D020000}"/>
    <cellStyle name="Normal 46 2" xfId="633" xr:uid="{00000000-0005-0000-0000-00008E020000}"/>
    <cellStyle name="Normal 46 3" xfId="634" xr:uid="{00000000-0005-0000-0000-00008F020000}"/>
    <cellStyle name="Normal 46 4" xfId="635" xr:uid="{00000000-0005-0000-0000-000090020000}"/>
    <cellStyle name="Normal 46 5" xfId="636" xr:uid="{00000000-0005-0000-0000-000091020000}"/>
    <cellStyle name="Normal 46 6" xfId="637" xr:uid="{00000000-0005-0000-0000-000092020000}"/>
    <cellStyle name="Normal 47" xfId="638" xr:uid="{00000000-0005-0000-0000-000093020000}"/>
    <cellStyle name="Normal 47 2" xfId="639" xr:uid="{00000000-0005-0000-0000-000094020000}"/>
    <cellStyle name="Normal 47 3" xfId="640" xr:uid="{00000000-0005-0000-0000-000095020000}"/>
    <cellStyle name="Normal 47 4" xfId="641" xr:uid="{00000000-0005-0000-0000-000096020000}"/>
    <cellStyle name="Normal 47 5" xfId="642" xr:uid="{00000000-0005-0000-0000-000097020000}"/>
    <cellStyle name="Normal 47 6" xfId="643" xr:uid="{00000000-0005-0000-0000-000098020000}"/>
    <cellStyle name="Normal 48" xfId="644" xr:uid="{00000000-0005-0000-0000-000099020000}"/>
    <cellStyle name="Normal 48 2" xfId="645" xr:uid="{00000000-0005-0000-0000-00009A020000}"/>
    <cellStyle name="Normal 48 3" xfId="646" xr:uid="{00000000-0005-0000-0000-00009B020000}"/>
    <cellStyle name="Normal 48 4" xfId="647" xr:uid="{00000000-0005-0000-0000-00009C020000}"/>
    <cellStyle name="Normal 48 5" xfId="648" xr:uid="{00000000-0005-0000-0000-00009D020000}"/>
    <cellStyle name="Normal 48 6" xfId="649" xr:uid="{00000000-0005-0000-0000-00009E020000}"/>
    <cellStyle name="Normal 49" xfId="650" xr:uid="{00000000-0005-0000-0000-00009F020000}"/>
    <cellStyle name="Normal 49 2" xfId="651" xr:uid="{00000000-0005-0000-0000-0000A0020000}"/>
    <cellStyle name="Normal 49 3" xfId="652" xr:uid="{00000000-0005-0000-0000-0000A1020000}"/>
    <cellStyle name="Normal 49 4" xfId="653" xr:uid="{00000000-0005-0000-0000-0000A2020000}"/>
    <cellStyle name="Normal 49 5" xfId="654" xr:uid="{00000000-0005-0000-0000-0000A3020000}"/>
    <cellStyle name="Normal 49 6" xfId="655" xr:uid="{00000000-0005-0000-0000-0000A4020000}"/>
    <cellStyle name="Normal 5" xfId="656" xr:uid="{00000000-0005-0000-0000-0000A5020000}"/>
    <cellStyle name="Normal 5 2" xfId="657" xr:uid="{00000000-0005-0000-0000-0000A6020000}"/>
    <cellStyle name="Normal 5 3" xfId="658" xr:uid="{00000000-0005-0000-0000-0000A7020000}"/>
    <cellStyle name="Normal 5 4" xfId="659" xr:uid="{00000000-0005-0000-0000-0000A8020000}"/>
    <cellStyle name="Normal 5 5" xfId="660" xr:uid="{00000000-0005-0000-0000-0000A9020000}"/>
    <cellStyle name="Normal 5 6" xfId="661" xr:uid="{00000000-0005-0000-0000-0000AA020000}"/>
    <cellStyle name="Normal 50" xfId="662" xr:uid="{00000000-0005-0000-0000-0000AB020000}"/>
    <cellStyle name="Normal 50 2" xfId="663" xr:uid="{00000000-0005-0000-0000-0000AC020000}"/>
    <cellStyle name="Normal 50 3" xfId="664" xr:uid="{00000000-0005-0000-0000-0000AD020000}"/>
    <cellStyle name="Normal 50 4" xfId="665" xr:uid="{00000000-0005-0000-0000-0000AE020000}"/>
    <cellStyle name="Normal 50 5" xfId="666" xr:uid="{00000000-0005-0000-0000-0000AF020000}"/>
    <cellStyle name="Normal 50 6" xfId="667" xr:uid="{00000000-0005-0000-0000-0000B0020000}"/>
    <cellStyle name="Normal 51" xfId="668" xr:uid="{00000000-0005-0000-0000-0000B1020000}"/>
    <cellStyle name="Normal 51 2" xfId="669" xr:uid="{00000000-0005-0000-0000-0000B2020000}"/>
    <cellStyle name="Normal 51 3" xfId="670" xr:uid="{00000000-0005-0000-0000-0000B3020000}"/>
    <cellStyle name="Normal 51 4" xfId="671" xr:uid="{00000000-0005-0000-0000-0000B4020000}"/>
    <cellStyle name="Normal 51 5" xfId="672" xr:uid="{00000000-0005-0000-0000-0000B5020000}"/>
    <cellStyle name="Normal 51 6" xfId="673" xr:uid="{00000000-0005-0000-0000-0000B6020000}"/>
    <cellStyle name="Normal 52" xfId="674" xr:uid="{00000000-0005-0000-0000-0000B7020000}"/>
    <cellStyle name="Normal 52 2" xfId="675" xr:uid="{00000000-0005-0000-0000-0000B8020000}"/>
    <cellStyle name="Normal 52 3" xfId="676" xr:uid="{00000000-0005-0000-0000-0000B9020000}"/>
    <cellStyle name="Normal 52 4" xfId="677" xr:uid="{00000000-0005-0000-0000-0000BA020000}"/>
    <cellStyle name="Normal 52 5" xfId="678" xr:uid="{00000000-0005-0000-0000-0000BB020000}"/>
    <cellStyle name="Normal 52 6" xfId="679" xr:uid="{00000000-0005-0000-0000-0000BC020000}"/>
    <cellStyle name="Normal 53" xfId="680" xr:uid="{00000000-0005-0000-0000-0000BD020000}"/>
    <cellStyle name="Normal 53 2" xfId="681" xr:uid="{00000000-0005-0000-0000-0000BE020000}"/>
    <cellStyle name="Normal 53 3" xfId="682" xr:uid="{00000000-0005-0000-0000-0000BF020000}"/>
    <cellStyle name="Normal 53 4" xfId="683" xr:uid="{00000000-0005-0000-0000-0000C0020000}"/>
    <cellStyle name="Normal 53 5" xfId="684" xr:uid="{00000000-0005-0000-0000-0000C1020000}"/>
    <cellStyle name="Normal 53 6" xfId="685" xr:uid="{00000000-0005-0000-0000-0000C2020000}"/>
    <cellStyle name="Normal 54" xfId="686" xr:uid="{00000000-0005-0000-0000-0000C3020000}"/>
    <cellStyle name="Normal 54 2" xfId="687" xr:uid="{00000000-0005-0000-0000-0000C4020000}"/>
    <cellStyle name="Normal 54 3" xfId="688" xr:uid="{00000000-0005-0000-0000-0000C5020000}"/>
    <cellStyle name="Normal 54 4" xfId="689" xr:uid="{00000000-0005-0000-0000-0000C6020000}"/>
    <cellStyle name="Normal 54 5" xfId="690" xr:uid="{00000000-0005-0000-0000-0000C7020000}"/>
    <cellStyle name="Normal 54 6" xfId="691" xr:uid="{00000000-0005-0000-0000-0000C8020000}"/>
    <cellStyle name="Normal 55" xfId="692" xr:uid="{00000000-0005-0000-0000-0000C9020000}"/>
    <cellStyle name="Normal 55 2" xfId="693" xr:uid="{00000000-0005-0000-0000-0000CA020000}"/>
    <cellStyle name="Normal 55 3" xfId="694" xr:uid="{00000000-0005-0000-0000-0000CB020000}"/>
    <cellStyle name="Normal 55 4" xfId="695" xr:uid="{00000000-0005-0000-0000-0000CC020000}"/>
    <cellStyle name="Normal 55 5" xfId="696" xr:uid="{00000000-0005-0000-0000-0000CD020000}"/>
    <cellStyle name="Normal 55 6" xfId="697" xr:uid="{00000000-0005-0000-0000-0000CE020000}"/>
    <cellStyle name="Normal 56" xfId="698" xr:uid="{00000000-0005-0000-0000-0000CF020000}"/>
    <cellStyle name="Normal 56 2" xfId="699" xr:uid="{00000000-0005-0000-0000-0000D0020000}"/>
    <cellStyle name="Normal 56 3" xfId="700" xr:uid="{00000000-0005-0000-0000-0000D1020000}"/>
    <cellStyle name="Normal 56 4" xfId="701" xr:uid="{00000000-0005-0000-0000-0000D2020000}"/>
    <cellStyle name="Normal 56 5" xfId="702" xr:uid="{00000000-0005-0000-0000-0000D3020000}"/>
    <cellStyle name="Normal 56 6" xfId="703" xr:uid="{00000000-0005-0000-0000-0000D4020000}"/>
    <cellStyle name="Normal 57" xfId="704" xr:uid="{00000000-0005-0000-0000-0000D5020000}"/>
    <cellStyle name="Normal 57 2" xfId="705" xr:uid="{00000000-0005-0000-0000-0000D6020000}"/>
    <cellStyle name="Normal 57 3" xfId="706" xr:uid="{00000000-0005-0000-0000-0000D7020000}"/>
    <cellStyle name="Normal 57 4" xfId="707" xr:uid="{00000000-0005-0000-0000-0000D8020000}"/>
    <cellStyle name="Normal 57 5" xfId="708" xr:uid="{00000000-0005-0000-0000-0000D9020000}"/>
    <cellStyle name="Normal 57 6" xfId="709" xr:uid="{00000000-0005-0000-0000-0000DA020000}"/>
    <cellStyle name="Normal 58" xfId="710" xr:uid="{00000000-0005-0000-0000-0000DB020000}"/>
    <cellStyle name="Normal 58 2" xfId="711" xr:uid="{00000000-0005-0000-0000-0000DC020000}"/>
    <cellStyle name="Normal 58 3" xfId="712" xr:uid="{00000000-0005-0000-0000-0000DD020000}"/>
    <cellStyle name="Normal 58 4" xfId="713" xr:uid="{00000000-0005-0000-0000-0000DE020000}"/>
    <cellStyle name="Normal 58 5" xfId="714" xr:uid="{00000000-0005-0000-0000-0000DF020000}"/>
    <cellStyle name="Normal 58 6" xfId="715" xr:uid="{00000000-0005-0000-0000-0000E0020000}"/>
    <cellStyle name="Normal 59" xfId="716" xr:uid="{00000000-0005-0000-0000-0000E1020000}"/>
    <cellStyle name="Normal 59 2" xfId="717" xr:uid="{00000000-0005-0000-0000-0000E2020000}"/>
    <cellStyle name="Normal 59 3" xfId="718" xr:uid="{00000000-0005-0000-0000-0000E3020000}"/>
    <cellStyle name="Normal 59 4" xfId="719" xr:uid="{00000000-0005-0000-0000-0000E4020000}"/>
    <cellStyle name="Normal 59 5" xfId="720" xr:uid="{00000000-0005-0000-0000-0000E5020000}"/>
    <cellStyle name="Normal 59 6" xfId="721" xr:uid="{00000000-0005-0000-0000-0000E6020000}"/>
    <cellStyle name="Normal 6" xfId="722" xr:uid="{00000000-0005-0000-0000-0000E7020000}"/>
    <cellStyle name="Normal 6 2" xfId="723" xr:uid="{00000000-0005-0000-0000-0000E8020000}"/>
    <cellStyle name="Normal 6 3" xfId="724" xr:uid="{00000000-0005-0000-0000-0000E9020000}"/>
    <cellStyle name="Normal 6 4" xfId="725" xr:uid="{00000000-0005-0000-0000-0000EA020000}"/>
    <cellStyle name="Normal 6 5" xfId="726" xr:uid="{00000000-0005-0000-0000-0000EB020000}"/>
    <cellStyle name="Normal 6 6" xfId="727" xr:uid="{00000000-0005-0000-0000-0000EC020000}"/>
    <cellStyle name="Normal 6 6 2" xfId="728" xr:uid="{00000000-0005-0000-0000-0000ED020000}"/>
    <cellStyle name="Normal 60" xfId="729" xr:uid="{00000000-0005-0000-0000-0000EE020000}"/>
    <cellStyle name="Normal 60 2" xfId="730" xr:uid="{00000000-0005-0000-0000-0000EF020000}"/>
    <cellStyle name="Normal 60 3" xfId="731" xr:uid="{00000000-0005-0000-0000-0000F0020000}"/>
    <cellStyle name="Normal 60 4" xfId="732" xr:uid="{00000000-0005-0000-0000-0000F1020000}"/>
    <cellStyle name="Normal 60 5" xfId="733" xr:uid="{00000000-0005-0000-0000-0000F2020000}"/>
    <cellStyle name="Normal 60 6" xfId="734" xr:uid="{00000000-0005-0000-0000-0000F3020000}"/>
    <cellStyle name="Normal 61" xfId="735" xr:uid="{00000000-0005-0000-0000-0000F4020000}"/>
    <cellStyle name="Normal 61 2" xfId="736" xr:uid="{00000000-0005-0000-0000-0000F5020000}"/>
    <cellStyle name="Normal 61 3" xfId="737" xr:uid="{00000000-0005-0000-0000-0000F6020000}"/>
    <cellStyle name="Normal 61 4" xfId="738" xr:uid="{00000000-0005-0000-0000-0000F7020000}"/>
    <cellStyle name="Normal 61 5" xfId="739" xr:uid="{00000000-0005-0000-0000-0000F8020000}"/>
    <cellStyle name="Normal 61 6" xfId="740" xr:uid="{00000000-0005-0000-0000-0000F9020000}"/>
    <cellStyle name="Normal 62" xfId="741" xr:uid="{00000000-0005-0000-0000-0000FA020000}"/>
    <cellStyle name="Normal 62 2" xfId="742" xr:uid="{00000000-0005-0000-0000-0000FB020000}"/>
    <cellStyle name="Normal 62 3" xfId="743" xr:uid="{00000000-0005-0000-0000-0000FC020000}"/>
    <cellStyle name="Normal 62 4" xfId="744" xr:uid="{00000000-0005-0000-0000-0000FD020000}"/>
    <cellStyle name="Normal 62 5" xfId="745" xr:uid="{00000000-0005-0000-0000-0000FE020000}"/>
    <cellStyle name="Normal 62 6" xfId="746" xr:uid="{00000000-0005-0000-0000-0000FF020000}"/>
    <cellStyle name="Normal 63" xfId="747" xr:uid="{00000000-0005-0000-0000-000000030000}"/>
    <cellStyle name="Normal 63 2" xfId="748" xr:uid="{00000000-0005-0000-0000-000001030000}"/>
    <cellStyle name="Normal 63 3" xfId="749" xr:uid="{00000000-0005-0000-0000-000002030000}"/>
    <cellStyle name="Normal 63 4" xfId="750" xr:uid="{00000000-0005-0000-0000-000003030000}"/>
    <cellStyle name="Normal 63 5" xfId="751" xr:uid="{00000000-0005-0000-0000-000004030000}"/>
    <cellStyle name="Normal 63 6" xfId="752" xr:uid="{00000000-0005-0000-0000-000005030000}"/>
    <cellStyle name="Normal 64" xfId="753" xr:uid="{00000000-0005-0000-0000-000006030000}"/>
    <cellStyle name="Normal 64 2" xfId="754" xr:uid="{00000000-0005-0000-0000-000007030000}"/>
    <cellStyle name="Normal 64 3" xfId="755" xr:uid="{00000000-0005-0000-0000-000008030000}"/>
    <cellStyle name="Normal 64 4" xfId="756" xr:uid="{00000000-0005-0000-0000-000009030000}"/>
    <cellStyle name="Normal 64 5" xfId="757" xr:uid="{00000000-0005-0000-0000-00000A030000}"/>
    <cellStyle name="Normal 64 6" xfId="758" xr:uid="{00000000-0005-0000-0000-00000B030000}"/>
    <cellStyle name="Normal 65" xfId="759" xr:uid="{00000000-0005-0000-0000-00000C030000}"/>
    <cellStyle name="Normal 65 2" xfId="760" xr:uid="{00000000-0005-0000-0000-00000D030000}"/>
    <cellStyle name="Normal 65 3" xfId="761" xr:uid="{00000000-0005-0000-0000-00000E030000}"/>
    <cellStyle name="Normal 65 4" xfId="762" xr:uid="{00000000-0005-0000-0000-00000F030000}"/>
    <cellStyle name="Normal 65 5" xfId="763" xr:uid="{00000000-0005-0000-0000-000010030000}"/>
    <cellStyle name="Normal 65 6" xfId="764" xr:uid="{00000000-0005-0000-0000-000011030000}"/>
    <cellStyle name="Normal 66" xfId="765" xr:uid="{00000000-0005-0000-0000-000012030000}"/>
    <cellStyle name="Normal 66 2" xfId="766" xr:uid="{00000000-0005-0000-0000-000013030000}"/>
    <cellStyle name="Normal 66 3" xfId="767" xr:uid="{00000000-0005-0000-0000-000014030000}"/>
    <cellStyle name="Normal 66 4" xfId="768" xr:uid="{00000000-0005-0000-0000-000015030000}"/>
    <cellStyle name="Normal 66 5" xfId="769" xr:uid="{00000000-0005-0000-0000-000016030000}"/>
    <cellStyle name="Normal 66 6" xfId="770" xr:uid="{00000000-0005-0000-0000-000017030000}"/>
    <cellStyle name="Normal 67" xfId="771" xr:uid="{00000000-0005-0000-0000-000018030000}"/>
    <cellStyle name="Normal 67 2" xfId="772" xr:uid="{00000000-0005-0000-0000-000019030000}"/>
    <cellStyle name="Normal 67 3" xfId="773" xr:uid="{00000000-0005-0000-0000-00001A030000}"/>
    <cellStyle name="Normal 67 4" xfId="774" xr:uid="{00000000-0005-0000-0000-00001B030000}"/>
    <cellStyle name="Normal 67 5" xfId="775" xr:uid="{00000000-0005-0000-0000-00001C030000}"/>
    <cellStyle name="Normal 67 6" xfId="776" xr:uid="{00000000-0005-0000-0000-00001D030000}"/>
    <cellStyle name="Normal 68" xfId="777" xr:uid="{00000000-0005-0000-0000-00001E030000}"/>
    <cellStyle name="Normal 68 2" xfId="778" xr:uid="{00000000-0005-0000-0000-00001F030000}"/>
    <cellStyle name="Normal 68 3" xfId="779" xr:uid="{00000000-0005-0000-0000-000020030000}"/>
    <cellStyle name="Normal 68 4" xfId="780" xr:uid="{00000000-0005-0000-0000-000021030000}"/>
    <cellStyle name="Normal 68 5" xfId="781" xr:uid="{00000000-0005-0000-0000-000022030000}"/>
    <cellStyle name="Normal 68 6" xfId="782" xr:uid="{00000000-0005-0000-0000-000023030000}"/>
    <cellStyle name="Normal 69" xfId="783" xr:uid="{00000000-0005-0000-0000-000024030000}"/>
    <cellStyle name="Normal 69 2" xfId="784" xr:uid="{00000000-0005-0000-0000-000025030000}"/>
    <cellStyle name="Normal 69 3" xfId="785" xr:uid="{00000000-0005-0000-0000-000026030000}"/>
    <cellStyle name="Normal 69 4" xfId="786" xr:uid="{00000000-0005-0000-0000-000027030000}"/>
    <cellStyle name="Normal 69 5" xfId="787" xr:uid="{00000000-0005-0000-0000-000028030000}"/>
    <cellStyle name="Normal 69 6" xfId="788" xr:uid="{00000000-0005-0000-0000-000029030000}"/>
    <cellStyle name="Normal 7" xfId="789" xr:uid="{00000000-0005-0000-0000-00002A030000}"/>
    <cellStyle name="Normal 7 2" xfId="790" xr:uid="{00000000-0005-0000-0000-00002B030000}"/>
    <cellStyle name="Normal 7 3" xfId="791" xr:uid="{00000000-0005-0000-0000-00002C030000}"/>
    <cellStyle name="Normal 7 4" xfId="792" xr:uid="{00000000-0005-0000-0000-00002D030000}"/>
    <cellStyle name="Normal 7 5" xfId="793" xr:uid="{00000000-0005-0000-0000-00002E030000}"/>
    <cellStyle name="Normal 7 6" xfId="794" xr:uid="{00000000-0005-0000-0000-00002F030000}"/>
    <cellStyle name="Normal 70" xfId="795" xr:uid="{00000000-0005-0000-0000-000030030000}"/>
    <cellStyle name="Normal 70 2" xfId="796" xr:uid="{00000000-0005-0000-0000-000031030000}"/>
    <cellStyle name="Normal 70 3" xfId="797" xr:uid="{00000000-0005-0000-0000-000032030000}"/>
    <cellStyle name="Normal 70 4" xfId="798" xr:uid="{00000000-0005-0000-0000-000033030000}"/>
    <cellStyle name="Normal 70 5" xfId="799" xr:uid="{00000000-0005-0000-0000-000034030000}"/>
    <cellStyle name="Normal 70 6" xfId="800" xr:uid="{00000000-0005-0000-0000-000035030000}"/>
    <cellStyle name="Normal 71" xfId="801" xr:uid="{00000000-0005-0000-0000-000036030000}"/>
    <cellStyle name="Normal 71 2" xfId="802" xr:uid="{00000000-0005-0000-0000-000037030000}"/>
    <cellStyle name="Normal 71 3" xfId="803" xr:uid="{00000000-0005-0000-0000-000038030000}"/>
    <cellStyle name="Normal 71 4" xfId="804" xr:uid="{00000000-0005-0000-0000-000039030000}"/>
    <cellStyle name="Normal 71 5" xfId="805" xr:uid="{00000000-0005-0000-0000-00003A030000}"/>
    <cellStyle name="Normal 71 6" xfId="806" xr:uid="{00000000-0005-0000-0000-00003B030000}"/>
    <cellStyle name="Normal 72" xfId="807" xr:uid="{00000000-0005-0000-0000-00003C030000}"/>
    <cellStyle name="Normal 72 2" xfId="808" xr:uid="{00000000-0005-0000-0000-00003D030000}"/>
    <cellStyle name="Normal 72 3" xfId="809" xr:uid="{00000000-0005-0000-0000-00003E030000}"/>
    <cellStyle name="Normal 72 4" xfId="810" xr:uid="{00000000-0005-0000-0000-00003F030000}"/>
    <cellStyle name="Normal 72 5" xfId="811" xr:uid="{00000000-0005-0000-0000-000040030000}"/>
    <cellStyle name="Normal 72 6" xfId="812" xr:uid="{00000000-0005-0000-0000-000041030000}"/>
    <cellStyle name="Normal 73" xfId="813" xr:uid="{00000000-0005-0000-0000-000042030000}"/>
    <cellStyle name="Normal 73 2" xfId="814" xr:uid="{00000000-0005-0000-0000-000043030000}"/>
    <cellStyle name="Normal 73 3" xfId="815" xr:uid="{00000000-0005-0000-0000-000044030000}"/>
    <cellStyle name="Normal 73 4" xfId="816" xr:uid="{00000000-0005-0000-0000-000045030000}"/>
    <cellStyle name="Normal 73 5" xfId="817" xr:uid="{00000000-0005-0000-0000-000046030000}"/>
    <cellStyle name="Normal 73 6" xfId="818" xr:uid="{00000000-0005-0000-0000-000047030000}"/>
    <cellStyle name="Normal 74" xfId="819" xr:uid="{00000000-0005-0000-0000-000048030000}"/>
    <cellStyle name="Normal 74 2" xfId="820" xr:uid="{00000000-0005-0000-0000-000049030000}"/>
    <cellStyle name="Normal 74 3" xfId="821" xr:uid="{00000000-0005-0000-0000-00004A030000}"/>
    <cellStyle name="Normal 74 4" xfId="822" xr:uid="{00000000-0005-0000-0000-00004B030000}"/>
    <cellStyle name="Normal 74 5" xfId="823" xr:uid="{00000000-0005-0000-0000-00004C030000}"/>
    <cellStyle name="Normal 74 6" xfId="824" xr:uid="{00000000-0005-0000-0000-00004D030000}"/>
    <cellStyle name="Normal 75" xfId="825" xr:uid="{00000000-0005-0000-0000-00004E030000}"/>
    <cellStyle name="Normal 75 2" xfId="826" xr:uid="{00000000-0005-0000-0000-00004F030000}"/>
    <cellStyle name="Normal 75 3" xfId="827" xr:uid="{00000000-0005-0000-0000-000050030000}"/>
    <cellStyle name="Normal 75 4" xfId="828" xr:uid="{00000000-0005-0000-0000-000051030000}"/>
    <cellStyle name="Normal 75 5" xfId="829" xr:uid="{00000000-0005-0000-0000-000052030000}"/>
    <cellStyle name="Normal 75 6" xfId="830" xr:uid="{00000000-0005-0000-0000-000053030000}"/>
    <cellStyle name="Normal 76" xfId="831" xr:uid="{00000000-0005-0000-0000-000054030000}"/>
    <cellStyle name="Normal 76 2" xfId="832" xr:uid="{00000000-0005-0000-0000-000055030000}"/>
    <cellStyle name="Normal 76 3" xfId="833" xr:uid="{00000000-0005-0000-0000-000056030000}"/>
    <cellStyle name="Normal 76 4" xfId="834" xr:uid="{00000000-0005-0000-0000-000057030000}"/>
    <cellStyle name="Normal 76 5" xfId="835" xr:uid="{00000000-0005-0000-0000-000058030000}"/>
    <cellStyle name="Normal 76 6" xfId="836" xr:uid="{00000000-0005-0000-0000-000059030000}"/>
    <cellStyle name="Normal 77" xfId="837" xr:uid="{00000000-0005-0000-0000-00005A030000}"/>
    <cellStyle name="Normal 77 2" xfId="838" xr:uid="{00000000-0005-0000-0000-00005B030000}"/>
    <cellStyle name="Normal 77 3" xfId="839" xr:uid="{00000000-0005-0000-0000-00005C030000}"/>
    <cellStyle name="Normal 77 4" xfId="840" xr:uid="{00000000-0005-0000-0000-00005D030000}"/>
    <cellStyle name="Normal 77 5" xfId="841" xr:uid="{00000000-0005-0000-0000-00005E030000}"/>
    <cellStyle name="Normal 77 6" xfId="842" xr:uid="{00000000-0005-0000-0000-00005F030000}"/>
    <cellStyle name="Normal 78" xfId="843" xr:uid="{00000000-0005-0000-0000-000060030000}"/>
    <cellStyle name="Normal 78 2" xfId="844" xr:uid="{00000000-0005-0000-0000-000061030000}"/>
    <cellStyle name="Normal 78 3" xfId="845" xr:uid="{00000000-0005-0000-0000-000062030000}"/>
    <cellStyle name="Normal 78 4" xfId="846" xr:uid="{00000000-0005-0000-0000-000063030000}"/>
    <cellStyle name="Normal 78 5" xfId="847" xr:uid="{00000000-0005-0000-0000-000064030000}"/>
    <cellStyle name="Normal 78 6" xfId="848" xr:uid="{00000000-0005-0000-0000-000065030000}"/>
    <cellStyle name="Normal 79" xfId="849" xr:uid="{00000000-0005-0000-0000-000066030000}"/>
    <cellStyle name="Normal 79 2" xfId="850" xr:uid="{00000000-0005-0000-0000-000067030000}"/>
    <cellStyle name="Normal 79 3" xfId="851" xr:uid="{00000000-0005-0000-0000-000068030000}"/>
    <cellStyle name="Normal 79 4" xfId="852" xr:uid="{00000000-0005-0000-0000-000069030000}"/>
    <cellStyle name="Normal 79 5" xfId="853" xr:uid="{00000000-0005-0000-0000-00006A030000}"/>
    <cellStyle name="Normal 79 6" xfId="854" xr:uid="{00000000-0005-0000-0000-00006B030000}"/>
    <cellStyle name="Normal 8" xfId="855" xr:uid="{00000000-0005-0000-0000-00006C030000}"/>
    <cellStyle name="Normal 8 2" xfId="856" xr:uid="{00000000-0005-0000-0000-00006D030000}"/>
    <cellStyle name="Normal 8 3" xfId="857" xr:uid="{00000000-0005-0000-0000-00006E030000}"/>
    <cellStyle name="Normal 8 4" xfId="858" xr:uid="{00000000-0005-0000-0000-00006F030000}"/>
    <cellStyle name="Normal 8 5" xfId="859" xr:uid="{00000000-0005-0000-0000-000070030000}"/>
    <cellStyle name="Normal 8 6" xfId="860" xr:uid="{00000000-0005-0000-0000-000071030000}"/>
    <cellStyle name="Normal 80" xfId="861" xr:uid="{00000000-0005-0000-0000-000072030000}"/>
    <cellStyle name="Normal 80 2" xfId="862" xr:uid="{00000000-0005-0000-0000-000073030000}"/>
    <cellStyle name="Normal 80 3" xfId="863" xr:uid="{00000000-0005-0000-0000-000074030000}"/>
    <cellStyle name="Normal 80 4" xfId="864" xr:uid="{00000000-0005-0000-0000-000075030000}"/>
    <cellStyle name="Normal 80 5" xfId="865" xr:uid="{00000000-0005-0000-0000-000076030000}"/>
    <cellStyle name="Normal 80 6" xfId="866" xr:uid="{00000000-0005-0000-0000-000077030000}"/>
    <cellStyle name="Normal 81" xfId="867" xr:uid="{00000000-0005-0000-0000-000078030000}"/>
    <cellStyle name="Normal 81 2" xfId="868" xr:uid="{00000000-0005-0000-0000-000079030000}"/>
    <cellStyle name="Normal 81 3" xfId="869" xr:uid="{00000000-0005-0000-0000-00007A030000}"/>
    <cellStyle name="Normal 81 4" xfId="870" xr:uid="{00000000-0005-0000-0000-00007B030000}"/>
    <cellStyle name="Normal 81 5" xfId="871" xr:uid="{00000000-0005-0000-0000-00007C030000}"/>
    <cellStyle name="Normal 81 6" xfId="872" xr:uid="{00000000-0005-0000-0000-00007D030000}"/>
    <cellStyle name="Normal 82" xfId="873" xr:uid="{00000000-0005-0000-0000-00007E030000}"/>
    <cellStyle name="Normal 82 2" xfId="874" xr:uid="{00000000-0005-0000-0000-00007F030000}"/>
    <cellStyle name="Normal 82 3" xfId="875" xr:uid="{00000000-0005-0000-0000-000080030000}"/>
    <cellStyle name="Normal 82 4" xfId="876" xr:uid="{00000000-0005-0000-0000-000081030000}"/>
    <cellStyle name="Normal 82 5" xfId="877" xr:uid="{00000000-0005-0000-0000-000082030000}"/>
    <cellStyle name="Normal 82 6" xfId="878" xr:uid="{00000000-0005-0000-0000-000083030000}"/>
    <cellStyle name="Normal 83" xfId="879" xr:uid="{00000000-0005-0000-0000-000084030000}"/>
    <cellStyle name="Normal 83 2" xfId="880" xr:uid="{00000000-0005-0000-0000-000085030000}"/>
    <cellStyle name="Normal 83 3" xfId="881" xr:uid="{00000000-0005-0000-0000-000086030000}"/>
    <cellStyle name="Normal 83 4" xfId="882" xr:uid="{00000000-0005-0000-0000-000087030000}"/>
    <cellStyle name="Normal 83 5" xfId="883" xr:uid="{00000000-0005-0000-0000-000088030000}"/>
    <cellStyle name="Normal 83 6" xfId="884" xr:uid="{00000000-0005-0000-0000-000089030000}"/>
    <cellStyle name="Normal 84" xfId="885" xr:uid="{00000000-0005-0000-0000-00008A030000}"/>
    <cellStyle name="Normal 84 2" xfId="886" xr:uid="{00000000-0005-0000-0000-00008B030000}"/>
    <cellStyle name="Normal 84 3" xfId="887" xr:uid="{00000000-0005-0000-0000-00008C030000}"/>
    <cellStyle name="Normal 84 4" xfId="888" xr:uid="{00000000-0005-0000-0000-00008D030000}"/>
    <cellStyle name="Normal 84 5" xfId="889" xr:uid="{00000000-0005-0000-0000-00008E030000}"/>
    <cellStyle name="Normal 84 6" xfId="890" xr:uid="{00000000-0005-0000-0000-00008F030000}"/>
    <cellStyle name="Normal 85" xfId="891" xr:uid="{00000000-0005-0000-0000-000090030000}"/>
    <cellStyle name="Normal 85 2" xfId="892" xr:uid="{00000000-0005-0000-0000-000091030000}"/>
    <cellStyle name="Normal 85 3" xfId="893" xr:uid="{00000000-0005-0000-0000-000092030000}"/>
    <cellStyle name="Normal 85 4" xfId="894" xr:uid="{00000000-0005-0000-0000-000093030000}"/>
    <cellStyle name="Normal 85 5" xfId="895" xr:uid="{00000000-0005-0000-0000-000094030000}"/>
    <cellStyle name="Normal 85 6" xfId="896" xr:uid="{00000000-0005-0000-0000-000095030000}"/>
    <cellStyle name="Normal 86" xfId="897" xr:uid="{00000000-0005-0000-0000-000096030000}"/>
    <cellStyle name="Normal 87" xfId="898" xr:uid="{00000000-0005-0000-0000-000097030000}"/>
    <cellStyle name="Normal 88" xfId="899" xr:uid="{00000000-0005-0000-0000-000098030000}"/>
    <cellStyle name="Normal 89" xfId="900" xr:uid="{00000000-0005-0000-0000-000099030000}"/>
    <cellStyle name="Normal 9" xfId="901" xr:uid="{00000000-0005-0000-0000-00009A030000}"/>
    <cellStyle name="Normal 9 2" xfId="902" xr:uid="{00000000-0005-0000-0000-00009B030000}"/>
    <cellStyle name="Normal 9 3" xfId="903" xr:uid="{00000000-0005-0000-0000-00009C030000}"/>
    <cellStyle name="Normal 9 4" xfId="904" xr:uid="{00000000-0005-0000-0000-00009D030000}"/>
    <cellStyle name="Normal 9 5" xfId="905" xr:uid="{00000000-0005-0000-0000-00009E030000}"/>
    <cellStyle name="Normal 9 6" xfId="906" xr:uid="{00000000-0005-0000-0000-00009F030000}"/>
    <cellStyle name="Normal 90" xfId="907" xr:uid="{00000000-0005-0000-0000-0000A0030000}"/>
    <cellStyle name="Normal 91" xfId="908" xr:uid="{00000000-0005-0000-0000-0000A1030000}"/>
    <cellStyle name="Normal 92" xfId="909" xr:uid="{00000000-0005-0000-0000-0000A2030000}"/>
    <cellStyle name="Normal 93" xfId="910" xr:uid="{00000000-0005-0000-0000-0000A3030000}"/>
    <cellStyle name="Normal_SAVEBUDGET5yearrev805" xfId="982" xr:uid="{A8CA471F-AE2D-4CB0-A9A0-4526A8BEA69A}"/>
    <cellStyle name="normální_Rozpočet_žádosti" xfId="911" xr:uid="{00000000-0005-0000-0000-0000A4030000}"/>
    <cellStyle name="Note 2" xfId="30" xr:uid="{00000000-0005-0000-0000-0000A5030000}"/>
    <cellStyle name="Percent" xfId="958" builtinId="5"/>
    <cellStyle name="Percent 10" xfId="912" xr:uid="{00000000-0005-0000-0000-0000A7030000}"/>
    <cellStyle name="Percent 11" xfId="913" xr:uid="{00000000-0005-0000-0000-0000A8030000}"/>
    <cellStyle name="Percent 12" xfId="914" xr:uid="{00000000-0005-0000-0000-0000A9030000}"/>
    <cellStyle name="Percent 13" xfId="915" xr:uid="{00000000-0005-0000-0000-0000AA030000}"/>
    <cellStyle name="Percent 14" xfId="916" xr:uid="{00000000-0005-0000-0000-0000AB030000}"/>
    <cellStyle name="Percent 15" xfId="917" xr:uid="{00000000-0005-0000-0000-0000AC030000}"/>
    <cellStyle name="Percent 16" xfId="918" xr:uid="{00000000-0005-0000-0000-0000AD030000}"/>
    <cellStyle name="Percent 16 2" xfId="919" xr:uid="{00000000-0005-0000-0000-0000AE030000}"/>
    <cellStyle name="Percent 16 3" xfId="920" xr:uid="{00000000-0005-0000-0000-0000AF030000}"/>
    <cellStyle name="Percent 16 3 2" xfId="921" xr:uid="{00000000-0005-0000-0000-0000B0030000}"/>
    <cellStyle name="Percent 17" xfId="922" xr:uid="{00000000-0005-0000-0000-0000B1030000}"/>
    <cellStyle name="Percent 18" xfId="923" xr:uid="{00000000-0005-0000-0000-0000B2030000}"/>
    <cellStyle name="Percent 19" xfId="924" xr:uid="{00000000-0005-0000-0000-0000B3030000}"/>
    <cellStyle name="Percent 2" xfId="31" xr:uid="{00000000-0005-0000-0000-0000B4030000}"/>
    <cellStyle name="Percent 2 2" xfId="925" xr:uid="{00000000-0005-0000-0000-0000B5030000}"/>
    <cellStyle name="Percent 2 2 2" xfId="926" xr:uid="{00000000-0005-0000-0000-0000B6030000}"/>
    <cellStyle name="Percent 2 2 3" xfId="927" xr:uid="{00000000-0005-0000-0000-0000B7030000}"/>
    <cellStyle name="Percent 2 3" xfId="928" xr:uid="{00000000-0005-0000-0000-0000B8030000}"/>
    <cellStyle name="Percent 2 3 2 2" xfId="929" xr:uid="{00000000-0005-0000-0000-0000B9030000}"/>
    <cellStyle name="Percent 2 3 3" xfId="930" xr:uid="{00000000-0005-0000-0000-0000BA030000}"/>
    <cellStyle name="Percent 2 4" xfId="931" xr:uid="{00000000-0005-0000-0000-0000BB030000}"/>
    <cellStyle name="Percent 2 5" xfId="932" xr:uid="{00000000-0005-0000-0000-0000BC030000}"/>
    <cellStyle name="Percent 20" xfId="933" xr:uid="{00000000-0005-0000-0000-0000BD030000}"/>
    <cellStyle name="Percent 21" xfId="934" xr:uid="{00000000-0005-0000-0000-0000BE030000}"/>
    <cellStyle name="Percent 22" xfId="935" xr:uid="{00000000-0005-0000-0000-0000BF030000}"/>
    <cellStyle name="Percent 3" xfId="936" xr:uid="{00000000-0005-0000-0000-0000C0030000}"/>
    <cellStyle name="Percent 3 2" xfId="937" xr:uid="{00000000-0005-0000-0000-0000C1030000}"/>
    <cellStyle name="Percent 3 5" xfId="938" xr:uid="{00000000-0005-0000-0000-0000C2030000}"/>
    <cellStyle name="Percent 4" xfId="939" xr:uid="{00000000-0005-0000-0000-0000C3030000}"/>
    <cellStyle name="Percent 5" xfId="940" xr:uid="{00000000-0005-0000-0000-0000C4030000}"/>
    <cellStyle name="Percent 5 2" xfId="941" xr:uid="{00000000-0005-0000-0000-0000C5030000}"/>
    <cellStyle name="Percent 6" xfId="942" xr:uid="{00000000-0005-0000-0000-0000C6030000}"/>
    <cellStyle name="Percent 7" xfId="943" xr:uid="{00000000-0005-0000-0000-0000C7030000}"/>
    <cellStyle name="Percent 8" xfId="944" xr:uid="{00000000-0005-0000-0000-0000C8030000}"/>
    <cellStyle name="Percent 9" xfId="945" xr:uid="{00000000-0005-0000-0000-0000C9030000}"/>
    <cellStyle name="Pourcentage_Orderfollow" xfId="946" xr:uid="{00000000-0005-0000-0000-0000CA030000}"/>
    <cellStyle name="Result" xfId="947" xr:uid="{00000000-0005-0000-0000-0000CB030000}"/>
    <cellStyle name="Result2" xfId="948" xr:uid="{00000000-0005-0000-0000-0000CC030000}"/>
    <cellStyle name="Rft" xfId="949" xr:uid="{00000000-0005-0000-0000-0000CD030000}"/>
    <cellStyle name="Standard_Budget_Projects" xfId="950" xr:uid="{00000000-0005-0000-0000-0000CE030000}"/>
    <cellStyle name="Style 1" xfId="951" xr:uid="{00000000-0005-0000-0000-0000CF030000}"/>
    <cellStyle name="Vírgula 2" xfId="952" xr:uid="{00000000-0005-0000-0000-0000D5030000}"/>
    <cellStyle name="W?hrung [0]" xfId="953" xr:uid="{00000000-0005-0000-0000-0000D0030000}"/>
    <cellStyle name="W?hrung [0] 2" xfId="954" xr:uid="{00000000-0005-0000-0000-0000D1030000}"/>
    <cellStyle name="W?hrung [0] 3" xfId="955" xr:uid="{00000000-0005-0000-0000-0000D2030000}"/>
    <cellStyle name="W?hrung [0] 4" xfId="956" xr:uid="{00000000-0005-0000-0000-0000D3030000}"/>
    <cellStyle name="W?hrung_98 doc 8_FR" xfId="957" xr:uid="{00000000-0005-0000-0000-0000D4030000}"/>
  </cellStyles>
  <dxfs count="0"/>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26" Type="http://schemas.openxmlformats.org/officeDocument/2006/relationships/externalLink" Target="externalLinks/externalLink16.xml"/><Relationship Id="rId39" Type="http://schemas.openxmlformats.org/officeDocument/2006/relationships/externalLink" Target="externalLinks/externalLink29.xml"/><Relationship Id="rId21" Type="http://schemas.openxmlformats.org/officeDocument/2006/relationships/externalLink" Target="externalLinks/externalLink11.xml"/><Relationship Id="rId34" Type="http://schemas.openxmlformats.org/officeDocument/2006/relationships/externalLink" Target="externalLinks/externalLink24.xml"/><Relationship Id="rId42" Type="http://schemas.openxmlformats.org/officeDocument/2006/relationships/sharedStrings" Target="sharedStrings.xml"/><Relationship Id="rId47" Type="http://schemas.openxmlformats.org/officeDocument/2006/relationships/customXml" Target="../customXml/item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6.xml"/><Relationship Id="rId29"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24" Type="http://schemas.openxmlformats.org/officeDocument/2006/relationships/externalLink" Target="externalLinks/externalLink14.xml"/><Relationship Id="rId32" Type="http://schemas.openxmlformats.org/officeDocument/2006/relationships/externalLink" Target="externalLinks/externalLink22.xml"/><Relationship Id="rId37" Type="http://schemas.openxmlformats.org/officeDocument/2006/relationships/externalLink" Target="externalLinks/externalLink2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externalLink" Target="externalLinks/externalLink13.xml"/><Relationship Id="rId28" Type="http://schemas.openxmlformats.org/officeDocument/2006/relationships/externalLink" Target="externalLinks/externalLink18.xml"/><Relationship Id="rId36" Type="http://schemas.openxmlformats.org/officeDocument/2006/relationships/externalLink" Target="externalLinks/externalLink26.xml"/><Relationship Id="rId10" Type="http://schemas.openxmlformats.org/officeDocument/2006/relationships/worksheet" Target="worksheets/sheet10.xml"/><Relationship Id="rId19" Type="http://schemas.openxmlformats.org/officeDocument/2006/relationships/externalLink" Target="externalLinks/externalLink9.xml"/><Relationship Id="rId31" Type="http://schemas.openxmlformats.org/officeDocument/2006/relationships/externalLink" Target="externalLinks/externalLink2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externalLink" Target="externalLinks/externalLink12.xml"/><Relationship Id="rId27" Type="http://schemas.openxmlformats.org/officeDocument/2006/relationships/externalLink" Target="externalLinks/externalLink17.xml"/><Relationship Id="rId30" Type="http://schemas.openxmlformats.org/officeDocument/2006/relationships/externalLink" Target="externalLinks/externalLink20.xml"/><Relationship Id="rId35" Type="http://schemas.openxmlformats.org/officeDocument/2006/relationships/externalLink" Target="externalLinks/externalLink2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5" Type="http://schemas.openxmlformats.org/officeDocument/2006/relationships/externalLink" Target="externalLinks/externalLink15.xml"/><Relationship Id="rId33" Type="http://schemas.openxmlformats.org/officeDocument/2006/relationships/externalLink" Target="externalLinks/externalLink23.xml"/><Relationship Id="rId38" Type="http://schemas.openxmlformats.org/officeDocument/2006/relationships/externalLink" Target="externalLinks/externalLink28.xml"/><Relationship Id="rId46" Type="http://schemas.openxmlformats.org/officeDocument/2006/relationships/customXml" Target="../customXml/item3.xml"/><Relationship Id="rId20" Type="http://schemas.openxmlformats.org/officeDocument/2006/relationships/externalLink" Target="externalLinks/externalLink1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3.xml"/></Relationships>
</file>

<file path=xl/drawings/drawing1.xml><?xml version="1.0" encoding="utf-8"?>
<xdr:wsDr xmlns:xdr="http://schemas.openxmlformats.org/drawingml/2006/spreadsheetDrawing" xmlns:a="http://schemas.openxmlformats.org/drawingml/2006/main">
  <xdr:twoCellAnchor editAs="oneCell">
    <xdr:from>
      <xdr:col>9</xdr:col>
      <xdr:colOff>1051586</xdr:colOff>
      <xdr:row>61</xdr:row>
      <xdr:rowOff>67266</xdr:rowOff>
    </xdr:from>
    <xdr:to>
      <xdr:col>9</xdr:col>
      <xdr:colOff>1051946</xdr:colOff>
      <xdr:row>61</xdr:row>
      <xdr:rowOff>67626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DEE06453-A2B3-EC59-F7A5-09FD051EC082}"/>
                </a:ext>
              </a:extLst>
            </xdr14:cNvPr>
            <xdr14:cNvContentPartPr/>
          </xdr14:nvContentPartPr>
          <xdr14:nvPr macro=""/>
          <xdr14:xfrm>
            <a:off x="14032800" y="13937480"/>
            <a:ext cx="360" cy="360"/>
          </xdr14:xfrm>
        </xdr:contentPart>
      </mc:Choice>
      <mc:Fallback xmlns="">
        <xdr:pic>
          <xdr:nvPicPr>
            <xdr:cNvPr id="2" name="Ink 1">
              <a:extLst>
                <a:ext uri="{FF2B5EF4-FFF2-40B4-BE49-F238E27FC236}">
                  <a16:creationId xmlns:a16="http://schemas.microsoft.com/office/drawing/2014/main" id="{DEE06453-A2B3-EC59-F7A5-09FD051EC082}"/>
                </a:ext>
              </a:extLst>
            </xdr:cNvPr>
            <xdr:cNvPicPr/>
          </xdr:nvPicPr>
          <xdr:blipFill>
            <a:blip xmlns:r="http://schemas.openxmlformats.org/officeDocument/2006/relationships" r:embed="rId2"/>
            <a:stretch>
              <a:fillRect/>
            </a:stretch>
          </xdr:blipFill>
          <xdr:spPr>
            <a:xfrm>
              <a:off x="14023800" y="13928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61</xdr:row>
      <xdr:rowOff>67266</xdr:rowOff>
    </xdr:from>
    <xdr:to>
      <xdr:col>6</xdr:col>
      <xdr:colOff>0</xdr:colOff>
      <xdr:row>61</xdr:row>
      <xdr:rowOff>67626</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6EF724E-BF65-46B0-8437-CE47241AFD18}"/>
                </a:ext>
              </a:extLst>
            </xdr14:cNvPr>
            <xdr14:cNvContentPartPr/>
          </xdr14:nvContentPartPr>
          <xdr14:nvPr macro=""/>
          <xdr14:xfrm>
            <a:off x="14032800" y="13937480"/>
            <a:ext cx="360" cy="360"/>
          </xdr14:xfrm>
        </xdr:contentPart>
      </mc:Choice>
      <mc:Fallback xmlns="">
        <xdr:pic>
          <xdr:nvPicPr>
            <xdr:cNvPr id="2" name="Ink 1">
              <a:extLst>
                <a:ext uri="{FF2B5EF4-FFF2-40B4-BE49-F238E27FC236}">
                  <a16:creationId xmlns:a16="http://schemas.microsoft.com/office/drawing/2014/main" id="{DEE06453-A2B3-EC59-F7A5-09FD051EC082}"/>
                </a:ext>
              </a:extLst>
            </xdr:cNvPr>
            <xdr:cNvPicPr/>
          </xdr:nvPicPr>
          <xdr:blipFill>
            <a:blip xmlns:r="http://schemas.openxmlformats.org/officeDocument/2006/relationships" r:embed="rId2"/>
            <a:stretch>
              <a:fillRect/>
            </a:stretch>
          </xdr:blipFill>
          <xdr:spPr>
            <a:xfrm>
              <a:off x="14023800" y="1392884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622080</xdr:colOff>
      <xdr:row>43</xdr:row>
      <xdr:rowOff>0</xdr:rowOff>
    </xdr:from>
    <xdr:to>
      <xdr:col>0</xdr:col>
      <xdr:colOff>622440</xdr:colOff>
      <xdr:row>43</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97749FC6-190D-E2BE-F916-70C6A9501065}"/>
                </a:ext>
              </a:extLst>
            </xdr14:cNvPr>
            <xdr14:cNvContentPartPr/>
          </xdr14:nvContentPartPr>
          <xdr14:nvPr macro=""/>
          <xdr14:xfrm>
            <a:off x="622080" y="105648840"/>
            <a:ext cx="360" cy="360"/>
          </xdr14:xfrm>
        </xdr:contentPart>
      </mc:Choice>
      <mc:Fallback xmlns="">
        <xdr:pic>
          <xdr:nvPicPr>
            <xdr:cNvPr id="2" name="Ink 1">
              <a:extLst>
                <a:ext uri="{FF2B5EF4-FFF2-40B4-BE49-F238E27FC236}">
                  <a16:creationId xmlns:a16="http://schemas.microsoft.com/office/drawing/2014/main" id="{97749FC6-190D-E2BE-F916-70C6A9501065}"/>
                </a:ext>
              </a:extLst>
            </xdr:cNvPr>
            <xdr:cNvPicPr/>
          </xdr:nvPicPr>
          <xdr:blipFill>
            <a:blip xmlns:r="http://schemas.openxmlformats.org/officeDocument/2006/relationships" r:embed="rId2"/>
            <a:stretch>
              <a:fillRect/>
            </a:stretch>
          </xdr:blipFill>
          <xdr:spPr>
            <a:xfrm>
              <a:off x="613080" y="10564020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regeringskansliet.se\Userdata\Users\jw\Docs\&amp;PROUD\&amp;PROUD%20Photo%202016%20\03%20Photos\C:\Users\ACF\AppData\Local\Microsoft\Windows\Temporary%20Internet%20Files\Content.Outlook\EN5FYFKH\.ptmp688847\MCCR%20DRR%20STW%20Budget%20FV%20(internal).xlsx?ECE74DF4" TargetMode="External"/><Relationship Id="rId1" Type="http://schemas.openxmlformats.org/officeDocument/2006/relationships/externalLinkPath" Target="file:///\\ECE74DF4\MCCR%20DRR%20STW%20Budget%20FV%20(internal).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egeringskansliet.se\Userdata\F\Consortium%20%20ASSETS\05%20DELIVERY%20-%203DF%20Asset%20Inventory%20Databas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egeringskansliet.se\Userdata\Documents%20and%20Settings\hhhtwe\Desktop\POINT\MMR075%20Assets%20&amp;%20Inventor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egeringskansliet.se\Userdata\Users\kathryn.blakemore\Dropbox\NORAD%2017-21%20Tax%20&amp;%20Gender%20Responsive%20Ed\Budgets\Approved%20Budget\05%20DELIVERY%20-%203DF%20Asset%20Inventory%20Database1"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G:\EFStaffData%20Base-%20april-%20200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dministration\03_HR\2.Staff%20Data%20Base%20El%20Fasher\2007%20DATABASE%20EF\07%2006%20June%2007\EFStaffData%20Base-%20april-%202007%20MEDICAL%20COST-DEF.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egeringskansliet.se\Userdata\Documents%20and%20Settings\TaiwoA\Local%20Settings\Temporary%20Internet%20Files\Content.IE5\GLM3CPUN\ActionAid%20budget%20for%202005%20budget%20revision.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DMINISTRATION%20DARFUR\FINANCE\BUDGET\A1%20ECHO\A1W\Documents%20and%20Settings\Admindr\Desktop\Staff%20Database%20NY_September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CF\Documents\ADMIN%20RAKHINE\2.HUMAN%20RESOURCES\05.Database\NRS\2014\02.February\STFNRS210214%20BTD%20Base-Updated%20MTMvEL%20v3vf.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regeringskansliet.se\Userdata\Users\Lilian.Musanga\Dropbox%20(AAI%20-%20NORAD)\AAI%20-%20NORAD%20Team%20Folder\NORAD\Reporting\2016%20-%20Y2%20reporting\Q4%20Reports\FInance%20Reports\NORAD%20-%20Consolidated%202017%20Budget%20-%20Qtr%204.xlsx"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file:///\\regeringskansliet.se\Userdata\Users\jw\Docs\&amp;PROUD\&amp;PROUD%20Photo%202016%20\03%20Photos\C:\My%20documents\A1201205\00%20-%20FIN\02%20-%20Budgets\03%20-%20ASSUMPTION\Assumption%202013\02%20-%20Financial%20Plans\20121124\AH%20PlanFinFunct%202013_20121124.xls?5843AB9A" TargetMode="External"/><Relationship Id="rId1" Type="http://schemas.openxmlformats.org/officeDocument/2006/relationships/externalLinkPath" Target="file:///\\5843AB9A\AH%20PlanFinFunct%202013_20121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Vhr\grp_hr\HR%20Database\2006\2006%2004\KH%20HR%20database%202006%200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regeringskansliet.se\Userdata\Documents%20and%20Settings\hhhtwe\Local%20Settings\Temporary%20Internet%20Files\OLK7\3DF%20Assets%20%20Inventory%20List%20Feb'0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E:\ACF_Yangon_HR\07_Remuneration%20Policy\New%20salary%20policy%2008\Budgets%20Simulations\Staff%20projections_0308.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G:\AdminKit\kitcompt\Missions\WINDOWS\TEMP\MULTIBUD\CHANGE9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G:\Documents%20and%20Settings\ACF\Desktop\Salary%20increase%20impact\HR%20Database%20ACF%20JA%202008%2002%20with%20increase.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regeringskansliet.se\Userdata\Users\awadeson\AppData\Local\Microsoft\Windows\Temporary%20Internet%20Files\Content.Outlook\4JEX1T41\BRACED%20budget%20to%20submit%20281114.xlsm"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regeringskansliet.se\Userdata\Users\jw\Docs\&amp;PROUD\&amp;PROUD%20Photo%202016%20\03%20Photos\Wash-team\wash_de\GMCA\GESTION%20MISSION\A.Burkina%20Faso\Budgets\A1%20-%20ECHO\A1A\Amendment\SUIVI%20BUD%20A1A%20PROJECTION%20AMENDEMENT%20V10%202%20du%2021%2011%20ok%20desk.xls?3202BDC2" TargetMode="External"/><Relationship Id="rId1" Type="http://schemas.openxmlformats.org/officeDocument/2006/relationships/externalLinkPath" Target="file:///\\3202BDC2\SUIVI%20BUD%20A1A%20PROJECTION%20AMENDEMENT%20V10%202%20du%2021%2011%20ok%20desk.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regeringskansliet.se\Userdata\Users\Brian%20Kayongo\AppData\Local\Microsoft\Windows\INetCache\Content.Outlook\408CNCU6\Salary%20Adjustment%20Proposals%202018%20(002).xlsx" TargetMode="External"/></Relationships>
</file>

<file path=xl/externalLinks/_rels/externalLink27.xml.rels><?xml version="1.0" encoding="UTF-8" standalone="yes"?>
<Relationships xmlns="http://schemas.openxmlformats.org/package/2006/relationships"><Relationship Id="rId2" Type="http://schemas.openxmlformats.org/officeDocument/2006/relationships/externalLinkPath" Target="https://actionaidglobal-my.sharepoint.com/personal/nicholas_munthali_actionaid_org/Documents/Documents/SIDA%20Phase%202%20Revised%20Budget%2008_02_2024%20AAZxx.xlsx" TargetMode="External"/><Relationship Id="rId1" Type="http://schemas.openxmlformats.org/officeDocument/2006/relationships/externalLinkPath" Target="file:///C:\Users\Innocent.Nshimiyiman\Downloads\SIDA%20Phase%202%20Revised%20Budget%2008_02_2024%20AAZxx.xlsx" TargetMode="External"/></Relationships>
</file>

<file path=xl/externalLinks/_rels/externalLink28.xml.rels><?xml version="1.0" encoding="UTF-8" standalone="yes"?>
<Relationships xmlns="http://schemas.openxmlformats.org/package/2006/relationships"><Relationship Id="rId3" Type="http://schemas.openxmlformats.org/officeDocument/2006/relationships/externalLinkPath" Target="https://actionaidglobal-my.sharepoint.com/personal/innocent_nshimiyimana_actionaid_org/Documents/AAZ%20SECONDMENT%20FOLDER1/PROJECTS/SIDA2/Sida%202%20final%20Submitted%20Documents/Final%20SIDA_Actionaid%20Phase%202%20%20Budget%2026.06.2024.xlsx" TargetMode="External"/><Relationship Id="rId2" Type="http://schemas.microsoft.com/office/2019/04/relationships/externalLinkLongPath" Target="/personal/innocent_nshimiyimana_actionaid_org/Documents/AAZ%20SECONDMENT%20FOLDER1/PROJECTS/SIDA2/Sida%202%20final%20Submitted%20Documents/Final%20SIDA_Actionaid%20Phase%202%20%20Budget%2026.06.2024.xlsx?4B3FE337" TargetMode="External"/><Relationship Id="rId1" Type="http://schemas.openxmlformats.org/officeDocument/2006/relationships/externalLinkPath" Target="file:///\\4B3FE337\Final%20SIDA_Actionaid%20Phase%202%20%20Budget%2026.06.2024.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Brian%20Kayongo\AppData\Local\Microsoft\Windows\INetCache\Content.Outlook\B2EYET4R\Copy%20of%20FINAL%20REVISED%20ACTIONAID%20ZAMBIA%20BUDGET%20FOR%20THE%20PROPOSAL%20TO%20EMBASSY%20OF%20SWEDEN%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geringskansliet.se\Userdata\V\Users\user\Documents\Revised%20Budget%20on%20June%202013%20with%20Ma%20Chaw\Consolidate%20budget%20from%20Jul%202012%20to%20June%202015%20draft%2013%20Jul%2012%20Master%20Fil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dministration\03_HR\2.Staff%20Data%20Base%20El%20Fasher\06%2011%20NOVEMBER%2006\New%20EFStaffData%20Base%20November%2020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G:\ADMINISTRATION%20DARFUR\03.%20HUMAN%20RESSOURCES\1.%20SUDANESE%20EMPLOYEES\1.%20DATABASES\2007\EFStaffData%20Base-%20june-%202007%20DEF.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fgha\02.%20Assessments%20and%20studies\08.%20Samangan%20-%20F7H%20-%20Needs%20assessment%20Oct%202012\Final%20version\Annex%203_Cost%20estimation.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Administration\HR\Database\2007%20DATABASE%20EF\07%2006%20June%2007\EFStaffData%20Base-%20june-%202007%20DEF.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regeringskansliet.se\Userdata\Users\jw\Docs\&amp;PROUD\&amp;PROUD%20Photo%202016%20\03%20Photos\C:\My%20documents\A1201205\00%20-%20FIN\02%20-%20Budgets\03%20-%20ASSUMPTION\Assumption%202013\02%20-%20Financial%20Plans\20121124\AH%20PlanFinStaff%202013_20121124.xls?5843AB9A" TargetMode="External"/><Relationship Id="rId1" Type="http://schemas.openxmlformats.org/officeDocument/2006/relationships/externalLinkPath" Target="file:///\\5843AB9A\AH%20PlanFinStaff%202013_201211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egeringskansliet.se\Userdata\Users\jw\Docs\&amp;PROUD\&amp;PROUD%20Photo%202016%20\03%20Photos\C:\HR-HOD\01-HRCO\05_HR%20administration\Databases\01%20YGN\STFYGN2014\STFYGN0614-AMOK-1106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F budget"/>
      <sheetName val="BA-Result 1"/>
      <sheetName val="BC-Result 3"/>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
      <sheetName val="SAMPLE"/>
      <sheetName val="Inventory"/>
      <sheetName val="DATA"/>
    </sheetNames>
    <sheetDataSet>
      <sheetData sheetId="0"/>
      <sheetData sheetId="1"/>
      <sheetData sheetId="2"/>
      <sheetData sheetId="3">
        <row r="5">
          <cell r="B5" t="str">
            <v>Office equipment</v>
          </cell>
          <cell r="C5" t="str">
            <v>Good</v>
          </cell>
        </row>
        <row r="6">
          <cell r="B6" t="str">
            <v>Medical &amp; Laboratory</v>
          </cell>
          <cell r="C6" t="str">
            <v>Repairable</v>
          </cell>
        </row>
        <row r="7">
          <cell r="B7" t="str">
            <v>Energy</v>
          </cell>
          <cell r="C7" t="str">
            <v>Unrepairable</v>
          </cell>
        </row>
        <row r="8">
          <cell r="B8" t="str">
            <v>Transport</v>
          </cell>
          <cell r="C8" t="str">
            <v>Missing (explain)</v>
          </cell>
        </row>
        <row r="9">
          <cell r="B9" t="str">
            <v>Communication</v>
          </cell>
          <cell r="C9" t="str">
            <v>Other (explain)</v>
          </cell>
        </row>
        <row r="10">
          <cell r="B10" t="str">
            <v>Watsan</v>
          </cell>
        </row>
        <row r="11">
          <cell r="B11" t="str">
            <v>Cold chain</v>
          </cell>
        </row>
        <row r="12">
          <cell r="B12" t="str">
            <v>Furniture</v>
          </cell>
        </row>
        <row r="13">
          <cell r="B13" t="str">
            <v>Others</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
      <sheetName val="SAMPLE"/>
      <sheetName val="Inventory"/>
      <sheetName val="DATA"/>
    </sheetNames>
    <sheetDataSet>
      <sheetData sheetId="0"/>
      <sheetData sheetId="1"/>
      <sheetData sheetId="2"/>
      <sheetData sheetId="3">
        <row r="5">
          <cell r="B5" t="str">
            <v>Office equipment</v>
          </cell>
          <cell r="C5" t="str">
            <v>Good</v>
          </cell>
        </row>
        <row r="6">
          <cell r="B6" t="str">
            <v>Medical &amp; Laboratory</v>
          </cell>
          <cell r="C6" t="str">
            <v>Repairable</v>
          </cell>
        </row>
        <row r="7">
          <cell r="B7" t="str">
            <v>Energy</v>
          </cell>
          <cell r="C7" t="str">
            <v>Unrepairable</v>
          </cell>
        </row>
        <row r="8">
          <cell r="B8" t="str">
            <v>Transport</v>
          </cell>
          <cell r="C8" t="str">
            <v>Missing (explain)</v>
          </cell>
        </row>
        <row r="9">
          <cell r="B9" t="str">
            <v>Communication</v>
          </cell>
          <cell r="C9" t="str">
            <v>Other (explain)</v>
          </cell>
        </row>
        <row r="10">
          <cell r="B10" t="str">
            <v>Watsan</v>
          </cell>
        </row>
        <row r="11">
          <cell r="B11" t="str">
            <v>Cold chain</v>
          </cell>
        </row>
        <row r="12">
          <cell r="B12" t="str">
            <v>Furniture</v>
          </cell>
        </row>
        <row r="13">
          <cell r="B13" t="str">
            <v>Others</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nge page"/>
      <sheetName val="PSI template"/>
      <sheetName val="DFID Reimbursables"/>
      <sheetName val="Proforma 2 of 3"/>
      <sheetName val="proforma 3 of 3"/>
      <sheetName val="DFID SalarySumm"/>
      <sheetName val="DFID ProjSumm"/>
      <sheetName val=" Staff Classification-Codes"/>
      <sheetName val="Units"/>
      <sheetName val="Range_page"/>
      <sheetName val="PSI_template"/>
      <sheetName val="DFID_Reimbursables"/>
      <sheetName val="Proforma_2_of_3"/>
      <sheetName val="proforma_3_of_3"/>
      <sheetName val="DFID_SalarySumm"/>
      <sheetName val="DFID_ProjSumm"/>
      <sheetName val="_Staff_Classification-Codes"/>
    </sheetNames>
    <sheetDataSet>
      <sheetData sheetId="0" refreshError="1">
        <row r="7">
          <cell r="A7">
            <v>0</v>
          </cell>
        </row>
        <row r="47">
          <cell r="A47">
            <v>0.54054054054054046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7">
          <cell r="A7">
            <v>0</v>
          </cell>
        </row>
      </sheetData>
      <sheetData sheetId="10"/>
      <sheetData sheetId="11"/>
      <sheetData sheetId="12"/>
      <sheetData sheetId="13"/>
      <sheetData sheetId="14"/>
      <sheetData sheetId="15"/>
      <sheetData sheetId="1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 val="P2"/>
    </sheet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mployee Follow up"/>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I Budget Summary "/>
      <sheetName val="IS Budget - Approved &amp; Proposed"/>
      <sheetName val="1. AAI Y2 Q3 Summary"/>
      <sheetName val="detailed budget"/>
      <sheetName val="2. Budget &amp; Expenses Details"/>
      <sheetName val="Exchange table"/>
      <sheetName val="AAI Fin Rep USD"/>
      <sheetName val="3.Workings Transaction Listings"/>
      <sheetName val="7. IS Budget Plan Yr3 USD"/>
      <sheetName val="4. Budget &amp; Expenses - USD"/>
      <sheetName val="1. Malawi Budget Plan Yr3 LCY"/>
      <sheetName val="2. Nepal Budget Plan Yr3 LCY"/>
      <sheetName val="3. Ethiopia Budget Plan Yr3 LCY"/>
      <sheetName val="4. Myanmar Budget Plan Yr3 LCY"/>
      <sheetName val="5. Tanzania Budget Plan Yr3 LCY"/>
      <sheetName val="6. Mozambiq Budget Plan Yr3 LCY"/>
      <sheetName val="Summarised By Milestone"/>
      <sheetName val="Detailed IS&amp;NOK"/>
      <sheetName val="Midterm Budget review template"/>
      <sheetName val="2.Detailed Budget Revision  LCY"/>
      <sheetName val="Sheet1"/>
    </sheetNames>
    <sheetDataSet>
      <sheetData sheetId="0"/>
      <sheetData sheetId="1"/>
      <sheetData sheetId="2"/>
      <sheetData sheetId="3">
        <row r="103">
          <cell r="A103" t="str">
            <v>3.1.1</v>
          </cell>
          <cell r="AO103">
            <v>21229.465126419786</v>
          </cell>
          <cell r="AP103">
            <v>27484.693684358084</v>
          </cell>
          <cell r="AQ103">
            <v>5054.1263157894737</v>
          </cell>
          <cell r="AR103">
            <v>42478.42108103208</v>
          </cell>
          <cell r="AS103">
            <v>14263.197942499999</v>
          </cell>
        </row>
        <row r="104">
          <cell r="A104" t="str">
            <v>3.1.2</v>
          </cell>
          <cell r="AO104">
            <v>0</v>
          </cell>
          <cell r="AP104">
            <v>15973.4398439534</v>
          </cell>
          <cell r="AQ104">
            <v>54247.777552708154</v>
          </cell>
          <cell r="AR104">
            <v>0</v>
          </cell>
          <cell r="AS104">
            <v>2441.4</v>
          </cell>
        </row>
        <row r="105">
          <cell r="A105" t="str">
            <v>3.1.3</v>
          </cell>
          <cell r="AO105">
            <v>0</v>
          </cell>
          <cell r="AP105">
            <v>4219.3992040631629</v>
          </cell>
          <cell r="AQ105">
            <v>17098.366315789473</v>
          </cell>
          <cell r="AR105">
            <v>0</v>
          </cell>
          <cell r="AS105">
            <v>12771.325870070701</v>
          </cell>
        </row>
        <row r="106">
          <cell r="A106" t="str">
            <v>3.1.5</v>
          </cell>
          <cell r="AO106">
            <v>0</v>
          </cell>
          <cell r="AP106">
            <v>0</v>
          </cell>
          <cell r="AQ106">
            <v>0</v>
          </cell>
          <cell r="AR106">
            <v>0</v>
          </cell>
          <cell r="AS106">
            <v>0</v>
          </cell>
        </row>
        <row r="107">
          <cell r="A107" t="str">
            <v>3.1.4</v>
          </cell>
          <cell r="AO107">
            <v>0</v>
          </cell>
          <cell r="AP107">
            <v>0</v>
          </cell>
          <cell r="AQ107">
            <v>0</v>
          </cell>
          <cell r="AR107">
            <v>4907.6488549618334</v>
          </cell>
          <cell r="AS107">
            <v>0</v>
          </cell>
        </row>
        <row r="108">
          <cell r="A108" t="str">
            <v>3.1.6</v>
          </cell>
          <cell r="AO108">
            <v>0</v>
          </cell>
          <cell r="AP108">
            <v>0</v>
          </cell>
          <cell r="AQ108">
            <v>0</v>
          </cell>
          <cell r="AR108">
            <v>9646.7914122137408</v>
          </cell>
          <cell r="AS108">
            <v>0</v>
          </cell>
        </row>
        <row r="109">
          <cell r="A109" t="str">
            <v>3.1.7</v>
          </cell>
          <cell r="AO109">
            <v>0</v>
          </cell>
          <cell r="AP109">
            <v>0</v>
          </cell>
          <cell r="AQ109">
            <v>0</v>
          </cell>
          <cell r="AR109">
            <v>4823.3957061068704</v>
          </cell>
          <cell r="AS109">
            <v>0</v>
          </cell>
        </row>
        <row r="110">
          <cell r="A110" t="str">
            <v>3.1.8</v>
          </cell>
          <cell r="AO110">
            <v>0</v>
          </cell>
          <cell r="AP110">
            <v>0</v>
          </cell>
          <cell r="AQ110">
            <v>0</v>
          </cell>
          <cell r="AR110">
            <v>4659.1603053435119</v>
          </cell>
          <cell r="AS110">
            <v>0</v>
          </cell>
        </row>
        <row r="111">
          <cell r="A111" t="str">
            <v>3.1.9</v>
          </cell>
          <cell r="AO111">
            <v>0</v>
          </cell>
          <cell r="AP111">
            <v>0</v>
          </cell>
          <cell r="AQ111">
            <v>0</v>
          </cell>
          <cell r="AR111">
            <v>1969.773250973029</v>
          </cell>
          <cell r="AS111">
            <v>0</v>
          </cell>
        </row>
        <row r="112">
          <cell r="A112" t="str">
            <v>3.1.10</v>
          </cell>
          <cell r="AO112">
            <v>0</v>
          </cell>
          <cell r="AP112">
            <v>0</v>
          </cell>
          <cell r="AQ112">
            <v>0</v>
          </cell>
          <cell r="AR112">
            <v>1940.928530534351</v>
          </cell>
          <cell r="AS112">
            <v>0</v>
          </cell>
        </row>
        <row r="113">
          <cell r="A113" t="str">
            <v>3.1.11</v>
          </cell>
          <cell r="AO113">
            <v>0</v>
          </cell>
          <cell r="AP113">
            <v>0</v>
          </cell>
          <cell r="AQ113">
            <v>0</v>
          </cell>
          <cell r="AR113">
            <v>7509.7325590107157</v>
          </cell>
          <cell r="AS113">
            <v>0</v>
          </cell>
        </row>
        <row r="114">
          <cell r="A114" t="str">
            <v>3.1.12</v>
          </cell>
          <cell r="AO114">
            <v>0</v>
          </cell>
          <cell r="AP114">
            <v>0</v>
          </cell>
          <cell r="AQ114">
            <v>0</v>
          </cell>
          <cell r="AR114">
            <v>1243.0639694656488</v>
          </cell>
          <cell r="AS114">
            <v>0</v>
          </cell>
        </row>
        <row r="115">
          <cell r="A115" t="str">
            <v>3.1.13</v>
          </cell>
          <cell r="AO115">
            <v>0</v>
          </cell>
          <cell r="AP115">
            <v>0</v>
          </cell>
          <cell r="AQ115">
            <v>0</v>
          </cell>
          <cell r="AR115">
            <v>14365.74427480916</v>
          </cell>
          <cell r="AS115">
            <v>0</v>
          </cell>
        </row>
        <row r="116">
          <cell r="A116" t="str">
            <v>3.1.14</v>
          </cell>
          <cell r="AO116">
            <v>0</v>
          </cell>
          <cell r="AP116">
            <v>0</v>
          </cell>
          <cell r="AQ116">
            <v>0</v>
          </cell>
          <cell r="AR116">
            <v>14365.74427480916</v>
          </cell>
          <cell r="AS116">
            <v>0</v>
          </cell>
        </row>
        <row r="117">
          <cell r="AO117">
            <v>0</v>
          </cell>
          <cell r="AP117">
            <v>0</v>
          </cell>
          <cell r="AQ117">
            <v>0</v>
          </cell>
          <cell r="AR117">
            <v>0</v>
          </cell>
          <cell r="AS117">
            <v>0</v>
          </cell>
        </row>
        <row r="118">
          <cell r="AO118">
            <v>0</v>
          </cell>
          <cell r="AP118">
            <v>0</v>
          </cell>
          <cell r="AQ118">
            <v>0</v>
          </cell>
          <cell r="AR118">
            <v>0</v>
          </cell>
          <cell r="AS118">
            <v>0</v>
          </cell>
        </row>
        <row r="166">
          <cell r="A166" t="str">
            <v>6.1.1</v>
          </cell>
          <cell r="AO166">
            <v>0</v>
          </cell>
          <cell r="AP166">
            <v>244700.09226297267</v>
          </cell>
          <cell r="AQ166">
            <v>0</v>
          </cell>
          <cell r="AR166">
            <v>0</v>
          </cell>
          <cell r="AS166">
            <v>0</v>
          </cell>
          <cell r="AT166">
            <v>0</v>
          </cell>
          <cell r="AU166">
            <v>0</v>
          </cell>
        </row>
        <row r="167">
          <cell r="A167" t="str">
            <v>6.1.2</v>
          </cell>
          <cell r="AO167">
            <v>0</v>
          </cell>
          <cell r="AP167">
            <v>102374.64722334393</v>
          </cell>
          <cell r="AQ167">
            <v>0</v>
          </cell>
          <cell r="AR167">
            <v>0</v>
          </cell>
          <cell r="AS167">
            <v>0</v>
          </cell>
          <cell r="AT167">
            <v>0</v>
          </cell>
          <cell r="AU167">
            <v>0</v>
          </cell>
        </row>
        <row r="168">
          <cell r="A168" t="str">
            <v>6.1.4</v>
          </cell>
          <cell r="AO168">
            <v>0</v>
          </cell>
          <cell r="AP168">
            <v>81855.043243795517</v>
          </cell>
          <cell r="AQ168">
            <v>0</v>
          </cell>
          <cell r="AR168">
            <v>0</v>
          </cell>
          <cell r="AS168">
            <v>0</v>
          </cell>
          <cell r="AT168">
            <v>0</v>
          </cell>
          <cell r="AU168">
            <v>0</v>
          </cell>
        </row>
        <row r="169">
          <cell r="A169" t="str">
            <v>6.1.5</v>
          </cell>
          <cell r="AO169">
            <v>0</v>
          </cell>
          <cell r="AP169">
            <v>0</v>
          </cell>
          <cell r="AQ169">
            <v>0</v>
          </cell>
          <cell r="AR169">
            <v>0</v>
          </cell>
          <cell r="AS169">
            <v>0</v>
          </cell>
          <cell r="AT169">
            <v>0</v>
          </cell>
          <cell r="AU169">
            <v>0</v>
          </cell>
        </row>
        <row r="170">
          <cell r="A170" t="str">
            <v>6.1.50</v>
          </cell>
          <cell r="AO170">
            <v>0</v>
          </cell>
          <cell r="AP170">
            <v>0</v>
          </cell>
          <cell r="AQ170">
            <v>0</v>
          </cell>
          <cell r="AR170">
            <v>85417.938931297715</v>
          </cell>
          <cell r="AS170">
            <v>0</v>
          </cell>
          <cell r="AT170">
            <v>0</v>
          </cell>
          <cell r="AU170">
            <v>0</v>
          </cell>
        </row>
        <row r="171">
          <cell r="A171" t="str">
            <v>6.1.51</v>
          </cell>
          <cell r="AO171">
            <v>0</v>
          </cell>
          <cell r="AP171">
            <v>0</v>
          </cell>
          <cell r="AQ171">
            <v>0</v>
          </cell>
          <cell r="AR171">
            <v>170133.122251908</v>
          </cell>
          <cell r="AS171">
            <v>0</v>
          </cell>
          <cell r="AT171">
            <v>0</v>
          </cell>
          <cell r="AU171">
            <v>0</v>
          </cell>
        </row>
        <row r="172">
          <cell r="A172" t="str">
            <v>6.1.52</v>
          </cell>
          <cell r="AO172">
            <v>0</v>
          </cell>
          <cell r="AP172">
            <v>0</v>
          </cell>
          <cell r="AQ172">
            <v>173006.40588947368</v>
          </cell>
          <cell r="AR172">
            <v>0</v>
          </cell>
          <cell r="AS172">
            <v>0</v>
          </cell>
          <cell r="AT172">
            <v>0</v>
          </cell>
          <cell r="AU172">
            <v>0</v>
          </cell>
        </row>
        <row r="173">
          <cell r="A173" t="str">
            <v>6.1.54</v>
          </cell>
          <cell r="AO173">
            <v>0</v>
          </cell>
          <cell r="AP173">
            <v>0</v>
          </cell>
          <cell r="AQ173">
            <v>65057.267809819197</v>
          </cell>
          <cell r="AR173">
            <v>0</v>
          </cell>
          <cell r="AS173">
            <v>0</v>
          </cell>
          <cell r="AT173">
            <v>0</v>
          </cell>
          <cell r="AU173">
            <v>0</v>
          </cell>
        </row>
        <row r="174">
          <cell r="A174" t="str">
            <v>6.1.55</v>
          </cell>
          <cell r="AO174">
            <v>0</v>
          </cell>
          <cell r="AP174">
            <v>0</v>
          </cell>
          <cell r="AQ174">
            <v>140339.86353947368</v>
          </cell>
          <cell r="AR174">
            <v>0</v>
          </cell>
          <cell r="AS174">
            <v>0</v>
          </cell>
          <cell r="AT174">
            <v>0</v>
          </cell>
          <cell r="AU174">
            <v>0</v>
          </cell>
        </row>
        <row r="175">
          <cell r="A175" t="str">
            <v>6.1.56</v>
          </cell>
          <cell r="AO175">
            <v>0</v>
          </cell>
          <cell r="AP175">
            <v>0</v>
          </cell>
          <cell r="AQ175">
            <v>56135.94541578948</v>
          </cell>
          <cell r="AR175">
            <v>0</v>
          </cell>
          <cell r="AS175">
            <v>0</v>
          </cell>
          <cell r="AT175">
            <v>0</v>
          </cell>
          <cell r="AU175">
            <v>0</v>
          </cell>
        </row>
        <row r="176">
          <cell r="A176" t="str">
            <v>6.1.6</v>
          </cell>
          <cell r="AO176">
            <v>0</v>
          </cell>
          <cell r="AP176">
            <v>146901.4359510536</v>
          </cell>
          <cell r="AQ176">
            <v>0</v>
          </cell>
          <cell r="AR176">
            <v>0</v>
          </cell>
          <cell r="AS176">
            <v>0</v>
          </cell>
          <cell r="AT176">
            <v>0</v>
          </cell>
          <cell r="AU176">
            <v>0</v>
          </cell>
        </row>
        <row r="177">
          <cell r="A177" t="str">
            <v>6.1.62</v>
          </cell>
          <cell r="AO177">
            <v>0</v>
          </cell>
          <cell r="AP177">
            <v>0</v>
          </cell>
          <cell r="AQ177">
            <v>202152.05110578949</v>
          </cell>
          <cell r="AR177">
            <v>0</v>
          </cell>
          <cell r="AS177">
            <v>0</v>
          </cell>
          <cell r="AT177">
            <v>0</v>
          </cell>
          <cell r="AU177">
            <v>0</v>
          </cell>
        </row>
        <row r="178">
          <cell r="A178" t="str">
            <v>6.1.63</v>
          </cell>
          <cell r="AO178">
            <v>0</v>
          </cell>
          <cell r="AP178">
            <v>0</v>
          </cell>
          <cell r="AQ178">
            <v>41627.052151578944</v>
          </cell>
          <cell r="AR178">
            <v>0</v>
          </cell>
          <cell r="AS178">
            <v>0</v>
          </cell>
          <cell r="AT178">
            <v>0</v>
          </cell>
          <cell r="AU178">
            <v>0</v>
          </cell>
        </row>
        <row r="179">
          <cell r="A179" t="str">
            <v>6.1.64</v>
          </cell>
          <cell r="AO179">
            <v>0</v>
          </cell>
          <cell r="AP179">
            <v>0</v>
          </cell>
          <cell r="AQ179">
            <v>145600.28387210524</v>
          </cell>
          <cell r="AR179">
            <v>0</v>
          </cell>
          <cell r="AS179">
            <v>0</v>
          </cell>
          <cell r="AT179">
            <v>0</v>
          </cell>
          <cell r="AU179">
            <v>0</v>
          </cell>
        </row>
        <row r="180">
          <cell r="A180" t="str">
            <v>6.1.65</v>
          </cell>
          <cell r="AO180">
            <v>0</v>
          </cell>
          <cell r="AP180">
            <v>0</v>
          </cell>
          <cell r="AQ180">
            <v>0</v>
          </cell>
          <cell r="AR180">
            <v>0</v>
          </cell>
          <cell r="AS180">
            <v>53954.94</v>
          </cell>
          <cell r="AT180">
            <v>0</v>
          </cell>
          <cell r="AU180">
            <v>0</v>
          </cell>
        </row>
        <row r="181">
          <cell r="A181" t="str">
            <v>6.1.66</v>
          </cell>
          <cell r="AO181">
            <v>0</v>
          </cell>
          <cell r="AP181">
            <v>0</v>
          </cell>
          <cell r="AQ181">
            <v>0</v>
          </cell>
          <cell r="AR181">
            <v>0</v>
          </cell>
          <cell r="AS181">
            <v>133904.68650000001</v>
          </cell>
          <cell r="AT181">
            <v>0</v>
          </cell>
          <cell r="AU181">
            <v>0</v>
          </cell>
        </row>
        <row r="182">
          <cell r="A182" t="str">
            <v>6.1.7</v>
          </cell>
          <cell r="AO182">
            <v>0</v>
          </cell>
          <cell r="AP182">
            <v>225273.84726855013</v>
          </cell>
          <cell r="AQ182">
            <v>0</v>
          </cell>
          <cell r="AR182">
            <v>0</v>
          </cell>
          <cell r="AS182">
            <v>0</v>
          </cell>
          <cell r="AT182">
            <v>0</v>
          </cell>
          <cell r="AU182">
            <v>0</v>
          </cell>
        </row>
        <row r="183">
          <cell r="A183" t="str">
            <v>6.1.77</v>
          </cell>
          <cell r="AO183">
            <v>0</v>
          </cell>
          <cell r="AP183">
            <v>0</v>
          </cell>
          <cell r="AQ183">
            <v>0</v>
          </cell>
          <cell r="AR183">
            <v>0</v>
          </cell>
          <cell r="AS183">
            <v>127235.5955</v>
          </cell>
          <cell r="AT183">
            <v>0</v>
          </cell>
          <cell r="AU183">
            <v>0</v>
          </cell>
        </row>
        <row r="184">
          <cell r="A184" t="str">
            <v>6.1.79</v>
          </cell>
          <cell r="AO184">
            <v>0</v>
          </cell>
          <cell r="AP184">
            <v>0</v>
          </cell>
          <cell r="AQ184">
            <v>0</v>
          </cell>
          <cell r="AR184">
            <v>0</v>
          </cell>
          <cell r="AS184">
            <v>0</v>
          </cell>
          <cell r="AT184">
            <v>39486.4158092703</v>
          </cell>
          <cell r="AU184">
            <v>0</v>
          </cell>
        </row>
        <row r="185">
          <cell r="A185" t="str">
            <v>6.1.8</v>
          </cell>
          <cell r="AO185">
            <v>0</v>
          </cell>
          <cell r="AP185">
            <v>90282.303334991724</v>
          </cell>
          <cell r="AQ185">
            <v>0</v>
          </cell>
          <cell r="AR185">
            <v>0</v>
          </cell>
          <cell r="AS185">
            <v>0</v>
          </cell>
          <cell r="AT185">
            <v>0</v>
          </cell>
          <cell r="AU185">
            <v>0</v>
          </cell>
        </row>
        <row r="186">
          <cell r="A186" t="str">
            <v>6.1.9</v>
          </cell>
          <cell r="AO186">
            <v>0</v>
          </cell>
          <cell r="AP186">
            <v>50498.395099216679</v>
          </cell>
          <cell r="AQ186">
            <v>0</v>
          </cell>
          <cell r="AR186">
            <v>0</v>
          </cell>
          <cell r="AS186">
            <v>0</v>
          </cell>
          <cell r="AT186">
            <v>0</v>
          </cell>
          <cell r="AU186">
            <v>0</v>
          </cell>
        </row>
        <row r="187">
          <cell r="A187" t="str">
            <v>6.1.80</v>
          </cell>
          <cell r="AO187">
            <v>0</v>
          </cell>
          <cell r="AP187">
            <v>0</v>
          </cell>
          <cell r="AQ187">
            <v>0</v>
          </cell>
          <cell r="AR187">
            <v>12423.672918850656</v>
          </cell>
          <cell r="AS187">
            <v>0</v>
          </cell>
          <cell r="AT187">
            <v>0</v>
          </cell>
          <cell r="AU187">
            <v>0</v>
          </cell>
        </row>
        <row r="188">
          <cell r="A188" t="str">
            <v>6.1.81</v>
          </cell>
          <cell r="AO188">
            <v>0</v>
          </cell>
          <cell r="AP188">
            <v>0</v>
          </cell>
          <cell r="AQ188">
            <v>0</v>
          </cell>
          <cell r="AR188">
            <v>10933.526826907902</v>
          </cell>
          <cell r="AS188">
            <v>0</v>
          </cell>
          <cell r="AT188">
            <v>0</v>
          </cell>
          <cell r="AU188">
            <v>0</v>
          </cell>
        </row>
        <row r="189">
          <cell r="A189" t="str">
            <v>6.1.82</v>
          </cell>
          <cell r="AO189">
            <v>0</v>
          </cell>
          <cell r="AP189">
            <v>0</v>
          </cell>
          <cell r="AQ189">
            <v>0</v>
          </cell>
          <cell r="AR189">
            <v>17782.281826362469</v>
          </cell>
          <cell r="AS189">
            <v>0</v>
          </cell>
          <cell r="AT189">
            <v>0</v>
          </cell>
          <cell r="AU189">
            <v>0</v>
          </cell>
        </row>
        <row r="190">
          <cell r="A190" t="str">
            <v>6.1.83</v>
          </cell>
          <cell r="AO190">
            <v>0</v>
          </cell>
          <cell r="AP190">
            <v>0</v>
          </cell>
          <cell r="AQ190">
            <v>0</v>
          </cell>
          <cell r="AR190">
            <v>184813.37320759092</v>
          </cell>
          <cell r="AS190">
            <v>0</v>
          </cell>
          <cell r="AT190">
            <v>0</v>
          </cell>
          <cell r="AU190">
            <v>0</v>
          </cell>
        </row>
        <row r="191">
          <cell r="A191" t="str">
            <v>6.1.84</v>
          </cell>
          <cell r="AO191">
            <v>0</v>
          </cell>
          <cell r="AP191">
            <v>0</v>
          </cell>
          <cell r="AQ191">
            <v>0</v>
          </cell>
          <cell r="AR191">
            <v>137538.41221374046</v>
          </cell>
          <cell r="AS191">
            <v>0</v>
          </cell>
          <cell r="AT191">
            <v>0</v>
          </cell>
          <cell r="AU191">
            <v>0</v>
          </cell>
        </row>
        <row r="192">
          <cell r="A192" t="str">
            <v>6.1.85</v>
          </cell>
          <cell r="AO192">
            <v>0</v>
          </cell>
          <cell r="AP192">
            <v>0</v>
          </cell>
          <cell r="AQ192">
            <v>0</v>
          </cell>
          <cell r="AR192">
            <v>4426.2022900763359</v>
          </cell>
          <cell r="AS192">
            <v>0</v>
          </cell>
          <cell r="AT192">
            <v>0</v>
          </cell>
          <cell r="AU192">
            <v>0</v>
          </cell>
        </row>
        <row r="193">
          <cell r="A193" t="str">
            <v>6.1.86</v>
          </cell>
          <cell r="AO193">
            <v>0</v>
          </cell>
          <cell r="AP193">
            <v>0</v>
          </cell>
          <cell r="AQ193">
            <v>0</v>
          </cell>
          <cell r="AR193">
            <v>18896.675487479828</v>
          </cell>
          <cell r="AS193">
            <v>0</v>
          </cell>
          <cell r="AT193">
            <v>0</v>
          </cell>
          <cell r="AU193">
            <v>0</v>
          </cell>
        </row>
        <row r="194">
          <cell r="A194" t="str">
            <v>6.1.87</v>
          </cell>
          <cell r="AO194">
            <v>0</v>
          </cell>
          <cell r="AP194">
            <v>0</v>
          </cell>
          <cell r="AQ194">
            <v>0</v>
          </cell>
          <cell r="AR194">
            <v>628.98664122137416</v>
          </cell>
          <cell r="AS194">
            <v>0</v>
          </cell>
          <cell r="AT194">
            <v>0</v>
          </cell>
          <cell r="AU194">
            <v>0</v>
          </cell>
        </row>
        <row r="195">
          <cell r="A195" t="str">
            <v>6.1.88</v>
          </cell>
          <cell r="AO195">
            <v>0</v>
          </cell>
          <cell r="AP195">
            <v>0</v>
          </cell>
          <cell r="AQ195">
            <v>0</v>
          </cell>
          <cell r="AR195">
            <v>18442.509541984731</v>
          </cell>
          <cell r="AS195">
            <v>0</v>
          </cell>
          <cell r="AT195">
            <v>0</v>
          </cell>
          <cell r="AU195">
            <v>0</v>
          </cell>
        </row>
        <row r="196">
          <cell r="A196" t="str">
            <v>6.1.89</v>
          </cell>
          <cell r="AO196">
            <v>0</v>
          </cell>
          <cell r="AP196">
            <v>0</v>
          </cell>
          <cell r="AQ196">
            <v>0</v>
          </cell>
          <cell r="AR196">
            <v>192656.27862595418</v>
          </cell>
          <cell r="AS196">
            <v>0</v>
          </cell>
          <cell r="AT196">
            <v>0</v>
          </cell>
          <cell r="AU196">
            <v>0</v>
          </cell>
        </row>
        <row r="197">
          <cell r="A197" t="str">
            <v>6.1.90</v>
          </cell>
          <cell r="AO197">
            <v>0</v>
          </cell>
          <cell r="AP197">
            <v>0</v>
          </cell>
          <cell r="AQ197">
            <v>0</v>
          </cell>
          <cell r="AR197">
            <v>111082.14694656487</v>
          </cell>
          <cell r="AS197">
            <v>0</v>
          </cell>
          <cell r="AT197">
            <v>0</v>
          </cell>
          <cell r="AU197">
            <v>0</v>
          </cell>
        </row>
        <row r="198">
          <cell r="A198" t="str">
            <v>6.1.91</v>
          </cell>
          <cell r="AO198">
            <v>0</v>
          </cell>
          <cell r="AP198">
            <v>0</v>
          </cell>
          <cell r="AQ198">
            <v>0</v>
          </cell>
          <cell r="AR198">
            <v>7445.248867366412</v>
          </cell>
          <cell r="AS198">
            <v>0</v>
          </cell>
          <cell r="AT198">
            <v>0</v>
          </cell>
          <cell r="AU198">
            <v>0</v>
          </cell>
        </row>
        <row r="199">
          <cell r="A199" t="str">
            <v>6.2.60</v>
          </cell>
          <cell r="AO199">
            <v>0</v>
          </cell>
          <cell r="AP199">
            <v>0</v>
          </cell>
          <cell r="AQ199">
            <v>0</v>
          </cell>
          <cell r="AR199">
            <v>0</v>
          </cell>
          <cell r="AS199">
            <v>0</v>
          </cell>
          <cell r="AT199">
            <v>0</v>
          </cell>
          <cell r="AU199">
            <v>0</v>
          </cell>
        </row>
        <row r="200">
          <cell r="A200" t="str">
            <v>6.2.61</v>
          </cell>
          <cell r="AO200">
            <v>0</v>
          </cell>
          <cell r="AP200">
            <v>0</v>
          </cell>
          <cell r="AQ200">
            <v>0</v>
          </cell>
          <cell r="AR200">
            <v>0</v>
          </cell>
          <cell r="AS200">
            <v>0</v>
          </cell>
          <cell r="AT200">
            <v>0</v>
          </cell>
          <cell r="AU200">
            <v>0</v>
          </cell>
        </row>
        <row r="201">
          <cell r="A201" t="str">
            <v>6.1.133</v>
          </cell>
          <cell r="AO201">
            <v>0</v>
          </cell>
          <cell r="AP201">
            <v>0</v>
          </cell>
          <cell r="AQ201">
            <v>0</v>
          </cell>
          <cell r="AR201">
            <v>0</v>
          </cell>
          <cell r="AS201">
            <v>0</v>
          </cell>
          <cell r="AT201">
            <v>0</v>
          </cell>
          <cell r="AU201">
            <v>0</v>
          </cell>
        </row>
        <row r="202">
          <cell r="A202">
            <v>0</v>
          </cell>
          <cell r="AO202">
            <v>0</v>
          </cell>
          <cell r="AP202">
            <v>941885.76438392431</v>
          </cell>
          <cell r="AQ202">
            <v>823918.86978402967</v>
          </cell>
          <cell r="AR202">
            <v>972620.37657730584</v>
          </cell>
          <cell r="AS202">
            <v>315095.22200000001</v>
          </cell>
          <cell r="AT202">
            <v>39486.4158092703</v>
          </cell>
          <cell r="AU202">
            <v>0</v>
          </cell>
        </row>
        <row r="203">
          <cell r="A203" t="str">
            <v>6.1.15</v>
          </cell>
          <cell r="AO203">
            <v>0</v>
          </cell>
          <cell r="AP203">
            <v>0</v>
          </cell>
          <cell r="AQ203">
            <v>0</v>
          </cell>
          <cell r="AR203">
            <v>0</v>
          </cell>
          <cell r="AS203">
            <v>0</v>
          </cell>
          <cell r="AT203">
            <v>0</v>
          </cell>
          <cell r="AU203">
            <v>0</v>
          </cell>
        </row>
        <row r="204">
          <cell r="A204" t="str">
            <v>6.1.16</v>
          </cell>
          <cell r="AO204">
            <v>0</v>
          </cell>
          <cell r="AP204">
            <v>0</v>
          </cell>
          <cell r="AQ204">
            <v>0</v>
          </cell>
          <cell r="AR204">
            <v>0</v>
          </cell>
          <cell r="AS204">
            <v>0</v>
          </cell>
          <cell r="AT204">
            <v>0</v>
          </cell>
          <cell r="AU204">
            <v>0</v>
          </cell>
        </row>
        <row r="205">
          <cell r="A205" t="str">
            <v>6.1.17</v>
          </cell>
          <cell r="AO205">
            <v>0</v>
          </cell>
          <cell r="AP205">
            <v>0</v>
          </cell>
          <cell r="AQ205">
            <v>0</v>
          </cell>
          <cell r="AR205">
            <v>0</v>
          </cell>
          <cell r="AS205">
            <v>0</v>
          </cell>
          <cell r="AT205">
            <v>0</v>
          </cell>
          <cell r="AU205">
            <v>0</v>
          </cell>
        </row>
        <row r="206">
          <cell r="A206" t="str">
            <v>6.1.18</v>
          </cell>
          <cell r="AO206">
            <v>0</v>
          </cell>
          <cell r="AP206">
            <v>0</v>
          </cell>
          <cell r="AQ206">
            <v>0</v>
          </cell>
          <cell r="AR206">
            <v>0</v>
          </cell>
          <cell r="AS206">
            <v>0</v>
          </cell>
          <cell r="AT206">
            <v>0</v>
          </cell>
          <cell r="AU206">
            <v>0</v>
          </cell>
        </row>
        <row r="207">
          <cell r="A207" t="str">
            <v>6.1.19</v>
          </cell>
          <cell r="AO207">
            <v>0</v>
          </cell>
          <cell r="AP207">
            <v>0</v>
          </cell>
          <cell r="AQ207">
            <v>0</v>
          </cell>
          <cell r="AR207">
            <v>0</v>
          </cell>
          <cell r="AS207">
            <v>0</v>
          </cell>
          <cell r="AT207">
            <v>0</v>
          </cell>
          <cell r="AU207">
            <v>0</v>
          </cell>
        </row>
        <row r="208">
          <cell r="A208" t="str">
            <v>6.1.20</v>
          </cell>
          <cell r="AO208">
            <v>0</v>
          </cell>
          <cell r="AP208">
            <v>0</v>
          </cell>
          <cell r="AQ208">
            <v>0</v>
          </cell>
          <cell r="AR208">
            <v>0</v>
          </cell>
          <cell r="AS208">
            <v>0</v>
          </cell>
          <cell r="AT208">
            <v>0</v>
          </cell>
          <cell r="AU208">
            <v>0</v>
          </cell>
        </row>
        <row r="209">
          <cell r="A209" t="str">
            <v>6.1.21</v>
          </cell>
          <cell r="AO209">
            <v>0</v>
          </cell>
          <cell r="AP209">
            <v>0</v>
          </cell>
          <cell r="AQ209">
            <v>0</v>
          </cell>
          <cell r="AR209">
            <v>0</v>
          </cell>
          <cell r="AS209">
            <v>0</v>
          </cell>
          <cell r="AT209">
            <v>0</v>
          </cell>
          <cell r="AU209">
            <v>0</v>
          </cell>
        </row>
        <row r="210">
          <cell r="A210" t="str">
            <v>6.1.22</v>
          </cell>
          <cell r="AO210">
            <v>0</v>
          </cell>
          <cell r="AP210">
            <v>0</v>
          </cell>
          <cell r="AQ210">
            <v>0</v>
          </cell>
          <cell r="AR210">
            <v>0</v>
          </cell>
          <cell r="AS210">
            <v>0</v>
          </cell>
          <cell r="AT210">
            <v>0</v>
          </cell>
          <cell r="AU210">
            <v>0</v>
          </cell>
        </row>
        <row r="211">
          <cell r="A211" t="str">
            <v>6.1.23</v>
          </cell>
          <cell r="AO211">
            <v>0</v>
          </cell>
          <cell r="AP211">
            <v>0</v>
          </cell>
          <cell r="AQ211">
            <v>0</v>
          </cell>
          <cell r="AR211">
            <v>0</v>
          </cell>
          <cell r="AS211">
            <v>0</v>
          </cell>
          <cell r="AT211">
            <v>0</v>
          </cell>
          <cell r="AU211">
            <v>0</v>
          </cell>
        </row>
        <row r="212">
          <cell r="A212" t="str">
            <v>6.1.24</v>
          </cell>
          <cell r="AO212">
            <v>0</v>
          </cell>
          <cell r="AP212">
            <v>0</v>
          </cell>
          <cell r="AQ212">
            <v>0</v>
          </cell>
          <cell r="AR212">
            <v>0</v>
          </cell>
          <cell r="AS212">
            <v>0</v>
          </cell>
          <cell r="AT212">
            <v>0</v>
          </cell>
          <cell r="AU212">
            <v>0</v>
          </cell>
        </row>
        <row r="213">
          <cell r="A213" t="str">
            <v>6.1.92</v>
          </cell>
          <cell r="AO213">
            <v>0</v>
          </cell>
          <cell r="AP213">
            <v>0</v>
          </cell>
          <cell r="AQ213">
            <v>0</v>
          </cell>
          <cell r="AR213">
            <v>108321.82742366413</v>
          </cell>
          <cell r="AS213">
            <v>0</v>
          </cell>
          <cell r="AT213">
            <v>0</v>
          </cell>
          <cell r="AU213">
            <v>0</v>
          </cell>
        </row>
        <row r="214">
          <cell r="A214" t="str">
            <v>6.1.93</v>
          </cell>
          <cell r="AO214">
            <v>0</v>
          </cell>
          <cell r="AP214">
            <v>0</v>
          </cell>
          <cell r="AQ214">
            <v>0</v>
          </cell>
          <cell r="AR214">
            <v>69246.552610687009</v>
          </cell>
          <cell r="AS214">
            <v>0</v>
          </cell>
          <cell r="AT214">
            <v>0</v>
          </cell>
          <cell r="AU214">
            <v>0</v>
          </cell>
        </row>
        <row r="215">
          <cell r="A215" t="str">
            <v>6.1.94</v>
          </cell>
          <cell r="AO215">
            <v>0</v>
          </cell>
          <cell r="AP215">
            <v>0</v>
          </cell>
          <cell r="AQ215">
            <v>0</v>
          </cell>
          <cell r="AR215">
            <v>262887.83984732826</v>
          </cell>
          <cell r="AS215">
            <v>0</v>
          </cell>
          <cell r="AT215">
            <v>0</v>
          </cell>
          <cell r="AU215">
            <v>0</v>
          </cell>
        </row>
        <row r="216">
          <cell r="A216" t="str">
            <v>6.1.95</v>
          </cell>
          <cell r="AO216">
            <v>0</v>
          </cell>
          <cell r="AP216">
            <v>0</v>
          </cell>
          <cell r="AQ216">
            <v>0</v>
          </cell>
          <cell r="AR216">
            <v>0.15530534351145039</v>
          </cell>
          <cell r="AS216">
            <v>0</v>
          </cell>
          <cell r="AT216">
            <v>0</v>
          </cell>
          <cell r="AU216">
            <v>0</v>
          </cell>
        </row>
        <row r="217">
          <cell r="A217" t="str">
            <v>6.1.96</v>
          </cell>
          <cell r="AO217">
            <v>0</v>
          </cell>
          <cell r="AP217">
            <v>0</v>
          </cell>
          <cell r="AQ217">
            <v>0</v>
          </cell>
          <cell r="AR217">
            <v>-39503.350604340812</v>
          </cell>
          <cell r="AS217">
            <v>0</v>
          </cell>
          <cell r="AT217">
            <v>0</v>
          </cell>
          <cell r="AU217">
            <v>0</v>
          </cell>
        </row>
        <row r="218">
          <cell r="A218" t="str">
            <v>6.1.97</v>
          </cell>
          <cell r="AO218">
            <v>0</v>
          </cell>
          <cell r="AP218">
            <v>0</v>
          </cell>
          <cell r="AQ218">
            <v>0</v>
          </cell>
          <cell r="AR218">
            <v>-1087.9139312977095</v>
          </cell>
          <cell r="AS218">
            <v>0</v>
          </cell>
          <cell r="AT218">
            <v>0</v>
          </cell>
          <cell r="AU218">
            <v>0</v>
          </cell>
        </row>
        <row r="219">
          <cell r="A219" t="str">
            <v>6.1.98</v>
          </cell>
          <cell r="AO219">
            <v>0</v>
          </cell>
          <cell r="AP219">
            <v>0</v>
          </cell>
          <cell r="AQ219">
            <v>0</v>
          </cell>
          <cell r="AR219">
            <v>13688.923587786259</v>
          </cell>
          <cell r="AS219">
            <v>0</v>
          </cell>
          <cell r="AT219">
            <v>0</v>
          </cell>
          <cell r="AU219">
            <v>0</v>
          </cell>
        </row>
        <row r="220">
          <cell r="A220" t="str">
            <v>6.1.99</v>
          </cell>
          <cell r="AO220">
            <v>0</v>
          </cell>
          <cell r="AP220">
            <v>0</v>
          </cell>
          <cell r="AQ220">
            <v>0</v>
          </cell>
          <cell r="AR220">
            <v>107859.0433583397</v>
          </cell>
          <cell r="AS220">
            <v>0</v>
          </cell>
          <cell r="AT220">
            <v>0</v>
          </cell>
          <cell r="AU220">
            <v>0</v>
          </cell>
        </row>
        <row r="221">
          <cell r="A221" t="str">
            <v>6.1.100</v>
          </cell>
          <cell r="AO221">
            <v>0</v>
          </cell>
          <cell r="AP221">
            <v>0</v>
          </cell>
          <cell r="AQ221">
            <v>0</v>
          </cell>
          <cell r="AR221">
            <v>0</v>
          </cell>
          <cell r="AS221">
            <v>0</v>
          </cell>
          <cell r="AT221">
            <v>0</v>
          </cell>
          <cell r="AU221">
            <v>0</v>
          </cell>
        </row>
        <row r="222">
          <cell r="A222" t="str">
            <v>6.1.101</v>
          </cell>
          <cell r="AO222">
            <v>0</v>
          </cell>
          <cell r="AP222">
            <v>0</v>
          </cell>
          <cell r="AQ222">
            <v>0</v>
          </cell>
          <cell r="AR222">
            <v>0</v>
          </cell>
          <cell r="AS222">
            <v>0</v>
          </cell>
          <cell r="AT222">
            <v>0</v>
          </cell>
          <cell r="AU222">
            <v>0</v>
          </cell>
        </row>
        <row r="223">
          <cell r="A223" t="str">
            <v>6.1.102</v>
          </cell>
          <cell r="AO223">
            <v>0</v>
          </cell>
          <cell r="AP223">
            <v>0</v>
          </cell>
          <cell r="AQ223">
            <v>0</v>
          </cell>
          <cell r="AR223">
            <v>0</v>
          </cell>
          <cell r="AS223">
            <v>0</v>
          </cell>
          <cell r="AT223">
            <v>0</v>
          </cell>
          <cell r="AU223">
            <v>0</v>
          </cell>
        </row>
        <row r="224">
          <cell r="A224" t="str">
            <v>6.1.103</v>
          </cell>
          <cell r="AO224">
            <v>0</v>
          </cell>
          <cell r="AP224">
            <v>0</v>
          </cell>
          <cell r="AQ224">
            <v>0</v>
          </cell>
          <cell r="AR224">
            <v>0</v>
          </cell>
          <cell r="AS224">
            <v>0</v>
          </cell>
          <cell r="AT224">
            <v>0</v>
          </cell>
          <cell r="AU224">
            <v>0</v>
          </cell>
        </row>
        <row r="225">
          <cell r="A225" t="str">
            <v>6.1.104</v>
          </cell>
          <cell r="AO225">
            <v>0</v>
          </cell>
          <cell r="AP225">
            <v>0</v>
          </cell>
          <cell r="AQ225">
            <v>0</v>
          </cell>
          <cell r="AR225">
            <v>0</v>
          </cell>
          <cell r="AS225">
            <v>0</v>
          </cell>
          <cell r="AT225">
            <v>0</v>
          </cell>
          <cell r="AU225">
            <v>0</v>
          </cell>
        </row>
        <row r="226">
          <cell r="A226" t="str">
            <v>6.1.12</v>
          </cell>
          <cell r="AO226">
            <v>0</v>
          </cell>
          <cell r="AP226">
            <v>144071.95581206842</v>
          </cell>
          <cell r="AQ226">
            <v>0</v>
          </cell>
          <cell r="AR226">
            <v>0</v>
          </cell>
          <cell r="AS226">
            <v>0</v>
          </cell>
          <cell r="AT226">
            <v>0</v>
          </cell>
          <cell r="AU226">
            <v>0</v>
          </cell>
        </row>
        <row r="227">
          <cell r="A227" t="str">
            <v>6.1.105</v>
          </cell>
          <cell r="AO227">
            <v>0</v>
          </cell>
          <cell r="AP227">
            <v>0</v>
          </cell>
          <cell r="AQ227">
            <v>0</v>
          </cell>
          <cell r="AR227">
            <v>0</v>
          </cell>
          <cell r="AS227">
            <v>0</v>
          </cell>
          <cell r="AT227">
            <v>0</v>
          </cell>
          <cell r="AU227">
            <v>0</v>
          </cell>
        </row>
        <row r="228">
          <cell r="A228">
            <v>0</v>
          </cell>
          <cell r="AO228">
            <v>0</v>
          </cell>
          <cell r="AP228">
            <v>144071.95581206842</v>
          </cell>
          <cell r="AQ228">
            <v>0</v>
          </cell>
          <cell r="AR228">
            <v>521413.0775975103</v>
          </cell>
          <cell r="AS228">
            <v>0</v>
          </cell>
          <cell r="AT228">
            <v>0</v>
          </cell>
          <cell r="AU228">
            <v>0</v>
          </cell>
        </row>
        <row r="229">
          <cell r="A229" t="str">
            <v>6.1.10</v>
          </cell>
          <cell r="AO229">
            <v>0</v>
          </cell>
          <cell r="AP229">
            <v>52644.027811695945</v>
          </cell>
          <cell r="AQ229">
            <v>0</v>
          </cell>
          <cell r="AR229">
            <v>0</v>
          </cell>
          <cell r="AS229">
            <v>0</v>
          </cell>
          <cell r="AT229">
            <v>0</v>
          </cell>
          <cell r="AU229">
            <v>0</v>
          </cell>
        </row>
        <row r="230">
          <cell r="A230" t="str">
            <v>6.1.14</v>
          </cell>
          <cell r="AO230">
            <v>0</v>
          </cell>
          <cell r="AP230">
            <v>0</v>
          </cell>
          <cell r="AQ230">
            <v>0</v>
          </cell>
          <cell r="AR230">
            <v>0</v>
          </cell>
          <cell r="AS230">
            <v>50292.84</v>
          </cell>
          <cell r="AT230">
            <v>0</v>
          </cell>
          <cell r="AU230">
            <v>0</v>
          </cell>
        </row>
        <row r="231">
          <cell r="A231" t="str">
            <v>6.1.25</v>
          </cell>
          <cell r="AO231">
            <v>0</v>
          </cell>
          <cell r="AP231">
            <v>0</v>
          </cell>
          <cell r="AQ231">
            <v>0</v>
          </cell>
          <cell r="AR231">
            <v>2715.2809732824426</v>
          </cell>
          <cell r="AS231">
            <v>0</v>
          </cell>
          <cell r="AT231">
            <v>0</v>
          </cell>
          <cell r="AU231">
            <v>0</v>
          </cell>
        </row>
        <row r="232">
          <cell r="A232" t="str">
            <v>6.1.26</v>
          </cell>
          <cell r="AO232">
            <v>0</v>
          </cell>
          <cell r="AP232">
            <v>0</v>
          </cell>
          <cell r="AQ232">
            <v>0</v>
          </cell>
          <cell r="AR232">
            <v>63484.500385857376</v>
          </cell>
          <cell r="AS232">
            <v>0</v>
          </cell>
          <cell r="AT232">
            <v>0</v>
          </cell>
          <cell r="AU232">
            <v>0</v>
          </cell>
        </row>
        <row r="233">
          <cell r="A233" t="str">
            <v>6.1.27</v>
          </cell>
          <cell r="AO233">
            <v>0</v>
          </cell>
          <cell r="AP233">
            <v>0</v>
          </cell>
          <cell r="AQ233">
            <v>0</v>
          </cell>
          <cell r="AR233">
            <v>26896.400610687022</v>
          </cell>
          <cell r="AS233">
            <v>0</v>
          </cell>
          <cell r="AT233">
            <v>0</v>
          </cell>
          <cell r="AU233">
            <v>0</v>
          </cell>
        </row>
        <row r="234">
          <cell r="A234" t="str">
            <v>6.1.28</v>
          </cell>
          <cell r="AO234">
            <v>0</v>
          </cell>
          <cell r="AP234">
            <v>0</v>
          </cell>
          <cell r="AQ234">
            <v>0</v>
          </cell>
          <cell r="AR234">
            <v>2715.2809732824426</v>
          </cell>
          <cell r="AS234">
            <v>0</v>
          </cell>
          <cell r="AT234">
            <v>0</v>
          </cell>
          <cell r="AU234">
            <v>0</v>
          </cell>
        </row>
        <row r="235">
          <cell r="A235" t="str">
            <v>6.1.29</v>
          </cell>
          <cell r="AO235">
            <v>0</v>
          </cell>
          <cell r="AP235">
            <v>0</v>
          </cell>
          <cell r="AQ235">
            <v>0</v>
          </cell>
          <cell r="AR235">
            <v>25952.998301526721</v>
          </cell>
          <cell r="AS235">
            <v>0</v>
          </cell>
          <cell r="AT235">
            <v>0</v>
          </cell>
          <cell r="AU235">
            <v>0</v>
          </cell>
        </row>
        <row r="236">
          <cell r="A236" t="str">
            <v>6.1.3</v>
          </cell>
          <cell r="AO236">
            <v>0</v>
          </cell>
          <cell r="AP236">
            <v>0</v>
          </cell>
          <cell r="AQ236">
            <v>0</v>
          </cell>
          <cell r="AR236">
            <v>0</v>
          </cell>
          <cell r="AS236">
            <v>0</v>
          </cell>
          <cell r="AT236">
            <v>0</v>
          </cell>
          <cell r="AU236">
            <v>0</v>
          </cell>
        </row>
        <row r="237">
          <cell r="A237" t="str">
            <v>6.1.30</v>
          </cell>
          <cell r="AO237">
            <v>0</v>
          </cell>
          <cell r="AP237">
            <v>0</v>
          </cell>
          <cell r="AQ237">
            <v>0</v>
          </cell>
          <cell r="AR237">
            <v>32347.61816793893</v>
          </cell>
          <cell r="AS237">
            <v>0</v>
          </cell>
          <cell r="AT237">
            <v>0</v>
          </cell>
          <cell r="AU237">
            <v>0</v>
          </cell>
        </row>
        <row r="238">
          <cell r="A238" t="str">
            <v>6.1.53</v>
          </cell>
          <cell r="AO238">
            <v>0</v>
          </cell>
          <cell r="AP238">
            <v>0</v>
          </cell>
          <cell r="AQ238">
            <v>24423.831453552626</v>
          </cell>
          <cell r="AR238">
            <v>0</v>
          </cell>
          <cell r="AS238">
            <v>0</v>
          </cell>
          <cell r="AT238">
            <v>0</v>
          </cell>
          <cell r="AU238">
            <v>0</v>
          </cell>
        </row>
        <row r="239">
          <cell r="A239" t="str">
            <v>6.1.57</v>
          </cell>
          <cell r="AO239">
            <v>0</v>
          </cell>
          <cell r="AP239">
            <v>0</v>
          </cell>
          <cell r="AQ239">
            <v>168678.39476526316</v>
          </cell>
          <cell r="AR239">
            <v>0</v>
          </cell>
          <cell r="AS239">
            <v>0</v>
          </cell>
          <cell r="AT239">
            <v>0</v>
          </cell>
          <cell r="AU239">
            <v>0</v>
          </cell>
        </row>
        <row r="240">
          <cell r="A240" t="str">
            <v>6.1.67</v>
          </cell>
          <cell r="AO240">
            <v>0</v>
          </cell>
          <cell r="AP240">
            <v>0</v>
          </cell>
          <cell r="AQ240">
            <v>0</v>
          </cell>
          <cell r="AR240">
            <v>0</v>
          </cell>
          <cell r="AS240">
            <v>430572.26959686517</v>
          </cell>
          <cell r="AT240">
            <v>0</v>
          </cell>
          <cell r="AU240">
            <v>0</v>
          </cell>
        </row>
        <row r="241">
          <cell r="A241" t="str">
            <v>6.1.72</v>
          </cell>
          <cell r="AO241">
            <v>0</v>
          </cell>
          <cell r="AP241">
            <v>0</v>
          </cell>
          <cell r="AQ241">
            <v>0</v>
          </cell>
          <cell r="AR241">
            <v>0</v>
          </cell>
          <cell r="AS241">
            <v>55053.57</v>
          </cell>
          <cell r="AT241">
            <v>0</v>
          </cell>
          <cell r="AU241">
            <v>0</v>
          </cell>
        </row>
        <row r="242">
          <cell r="A242" t="str">
            <v>6.1.73</v>
          </cell>
          <cell r="AO242">
            <v>0</v>
          </cell>
          <cell r="AP242">
            <v>0</v>
          </cell>
          <cell r="AQ242">
            <v>0</v>
          </cell>
          <cell r="AR242">
            <v>0</v>
          </cell>
          <cell r="AS242">
            <v>117634.79000000001</v>
          </cell>
          <cell r="AT242">
            <v>0</v>
          </cell>
          <cell r="AU242">
            <v>0</v>
          </cell>
        </row>
        <row r="243">
          <cell r="A243" t="str">
            <v>6.1.78</v>
          </cell>
          <cell r="AO243">
            <v>0</v>
          </cell>
          <cell r="AP243">
            <v>0</v>
          </cell>
          <cell r="AQ243">
            <v>0</v>
          </cell>
          <cell r="AR243">
            <v>0</v>
          </cell>
          <cell r="AS243">
            <v>0</v>
          </cell>
          <cell r="AT243">
            <v>0</v>
          </cell>
          <cell r="AU243">
            <v>0</v>
          </cell>
        </row>
        <row r="244">
          <cell r="A244" t="str">
            <v>6.1.106</v>
          </cell>
          <cell r="AO244">
            <v>0</v>
          </cell>
          <cell r="AP244">
            <v>0</v>
          </cell>
          <cell r="AQ244">
            <v>0</v>
          </cell>
          <cell r="AR244">
            <v>0</v>
          </cell>
          <cell r="AS244">
            <v>0</v>
          </cell>
          <cell r="AT244">
            <v>0</v>
          </cell>
          <cell r="AU244">
            <v>0</v>
          </cell>
        </row>
        <row r="245">
          <cell r="A245" t="str">
            <v>6.1.107</v>
          </cell>
          <cell r="AO245">
            <v>0</v>
          </cell>
          <cell r="AP245">
            <v>0</v>
          </cell>
          <cell r="AQ245">
            <v>0</v>
          </cell>
          <cell r="AR245">
            <v>0</v>
          </cell>
          <cell r="AS245">
            <v>0</v>
          </cell>
          <cell r="AT245">
            <v>0</v>
          </cell>
          <cell r="AU245">
            <v>0</v>
          </cell>
        </row>
        <row r="246">
          <cell r="A246" t="str">
            <v>6.1.108</v>
          </cell>
          <cell r="AO246">
            <v>0</v>
          </cell>
          <cell r="AP246">
            <v>0</v>
          </cell>
          <cell r="AQ246">
            <v>0</v>
          </cell>
          <cell r="AR246">
            <v>0</v>
          </cell>
          <cell r="AS246">
            <v>0</v>
          </cell>
          <cell r="AT246">
            <v>0</v>
          </cell>
          <cell r="AU246">
            <v>0</v>
          </cell>
        </row>
        <row r="247">
          <cell r="A247" t="str">
            <v>6.1.109</v>
          </cell>
          <cell r="AO247">
            <v>0</v>
          </cell>
          <cell r="AP247">
            <v>0</v>
          </cell>
          <cell r="AQ247">
            <v>0</v>
          </cell>
          <cell r="AR247">
            <v>0</v>
          </cell>
          <cell r="AS247">
            <v>0</v>
          </cell>
          <cell r="AT247">
            <v>0</v>
          </cell>
          <cell r="AU247">
            <v>0</v>
          </cell>
        </row>
        <row r="248">
          <cell r="A248" t="str">
            <v>6.1.110</v>
          </cell>
          <cell r="AO248">
            <v>0</v>
          </cell>
          <cell r="AP248">
            <v>0</v>
          </cell>
          <cell r="AQ248">
            <v>0</v>
          </cell>
          <cell r="AR248">
            <v>0</v>
          </cell>
          <cell r="AS248">
            <v>0</v>
          </cell>
          <cell r="AT248">
            <v>0</v>
          </cell>
          <cell r="AU248">
            <v>0</v>
          </cell>
        </row>
        <row r="249">
          <cell r="A249" t="str">
            <v>6.1.111</v>
          </cell>
          <cell r="AO249">
            <v>0</v>
          </cell>
          <cell r="AP249">
            <v>0</v>
          </cell>
          <cell r="AQ249">
            <v>0</v>
          </cell>
          <cell r="AR249">
            <v>0</v>
          </cell>
          <cell r="AS249">
            <v>0</v>
          </cell>
          <cell r="AT249">
            <v>0</v>
          </cell>
          <cell r="AU249">
            <v>0</v>
          </cell>
        </row>
        <row r="250">
          <cell r="A250">
            <v>0</v>
          </cell>
          <cell r="AO250">
            <v>0</v>
          </cell>
          <cell r="AP250">
            <v>52644.027811695945</v>
          </cell>
          <cell r="AQ250">
            <v>193102.22621881578</v>
          </cell>
          <cell r="AR250">
            <v>154112.07941257494</v>
          </cell>
          <cell r="AS250">
            <v>653553.46959686512</v>
          </cell>
          <cell r="AT250">
            <v>0</v>
          </cell>
          <cell r="AU250">
            <v>0</v>
          </cell>
        </row>
        <row r="251">
          <cell r="A251" t="str">
            <v>6.1.31</v>
          </cell>
          <cell r="AO251">
            <v>0</v>
          </cell>
          <cell r="AP251">
            <v>0</v>
          </cell>
          <cell r="AQ251">
            <v>0</v>
          </cell>
          <cell r="AR251">
            <v>18520.162213740456</v>
          </cell>
          <cell r="AS251">
            <v>0</v>
          </cell>
          <cell r="AT251">
            <v>0</v>
          </cell>
          <cell r="AU251">
            <v>0</v>
          </cell>
        </row>
        <row r="252">
          <cell r="A252" t="str">
            <v>6.1.32</v>
          </cell>
          <cell r="AO252">
            <v>0</v>
          </cell>
          <cell r="AP252">
            <v>0</v>
          </cell>
          <cell r="AQ252">
            <v>0</v>
          </cell>
          <cell r="AR252">
            <v>39889.400954198471</v>
          </cell>
          <cell r="AS252">
            <v>0</v>
          </cell>
          <cell r="AT252">
            <v>0</v>
          </cell>
          <cell r="AU252">
            <v>0</v>
          </cell>
        </row>
        <row r="253">
          <cell r="A253" t="str">
            <v>6.1.33</v>
          </cell>
          <cell r="AO253">
            <v>0</v>
          </cell>
          <cell r="AP253">
            <v>0</v>
          </cell>
          <cell r="AQ253">
            <v>0</v>
          </cell>
          <cell r="AR253">
            <v>41903.436844960197</v>
          </cell>
          <cell r="AS253">
            <v>0</v>
          </cell>
          <cell r="AT253">
            <v>0</v>
          </cell>
          <cell r="AU253">
            <v>0</v>
          </cell>
        </row>
        <row r="254">
          <cell r="A254" t="str">
            <v>6.1.34</v>
          </cell>
          <cell r="AO254">
            <v>0</v>
          </cell>
          <cell r="AP254">
            <v>0</v>
          </cell>
          <cell r="AQ254">
            <v>0</v>
          </cell>
          <cell r="AR254">
            <v>38373.931412213744</v>
          </cell>
          <cell r="AS254">
            <v>0</v>
          </cell>
          <cell r="AT254">
            <v>0</v>
          </cell>
          <cell r="AU254">
            <v>0</v>
          </cell>
        </row>
        <row r="255">
          <cell r="A255" t="str">
            <v>6.1.35</v>
          </cell>
          <cell r="AO255">
            <v>0</v>
          </cell>
          <cell r="AP255">
            <v>0</v>
          </cell>
          <cell r="AQ255">
            <v>0</v>
          </cell>
          <cell r="AR255">
            <v>23395.751766604415</v>
          </cell>
          <cell r="AS255">
            <v>0</v>
          </cell>
          <cell r="AT255">
            <v>0</v>
          </cell>
          <cell r="AU255">
            <v>0</v>
          </cell>
        </row>
        <row r="256">
          <cell r="A256" t="str">
            <v>6.1.36</v>
          </cell>
          <cell r="AO256">
            <v>0</v>
          </cell>
          <cell r="AP256">
            <v>0</v>
          </cell>
          <cell r="AQ256">
            <v>0</v>
          </cell>
          <cell r="AR256">
            <v>17277.719465648854</v>
          </cell>
          <cell r="AS256">
            <v>0</v>
          </cell>
          <cell r="AT256">
            <v>0</v>
          </cell>
          <cell r="AU256">
            <v>0</v>
          </cell>
        </row>
        <row r="257">
          <cell r="A257" t="str">
            <v>6.1.37</v>
          </cell>
          <cell r="AO257">
            <v>0</v>
          </cell>
          <cell r="AP257">
            <v>0</v>
          </cell>
          <cell r="AQ257">
            <v>0</v>
          </cell>
          <cell r="AR257">
            <v>20992.120833873549</v>
          </cell>
          <cell r="AS257">
            <v>0</v>
          </cell>
          <cell r="AT257">
            <v>0</v>
          </cell>
          <cell r="AU257">
            <v>0</v>
          </cell>
        </row>
        <row r="258">
          <cell r="A258" t="str">
            <v>6.1.38</v>
          </cell>
          <cell r="AO258">
            <v>0</v>
          </cell>
          <cell r="AP258">
            <v>0</v>
          </cell>
          <cell r="AQ258">
            <v>0</v>
          </cell>
          <cell r="AR258">
            <v>38556.927698473279</v>
          </cell>
          <cell r="AS258">
            <v>0</v>
          </cell>
          <cell r="AT258">
            <v>0</v>
          </cell>
          <cell r="AU258">
            <v>0</v>
          </cell>
        </row>
        <row r="259">
          <cell r="A259" t="str">
            <v>6.1.39</v>
          </cell>
          <cell r="AO259">
            <v>0</v>
          </cell>
          <cell r="AP259">
            <v>0</v>
          </cell>
          <cell r="AQ259">
            <v>0</v>
          </cell>
          <cell r="AR259">
            <v>39329.758148854962</v>
          </cell>
          <cell r="AS259">
            <v>0</v>
          </cell>
          <cell r="AT259">
            <v>0</v>
          </cell>
          <cell r="AU259">
            <v>0</v>
          </cell>
        </row>
        <row r="260">
          <cell r="A260" t="str">
            <v>6.1.40</v>
          </cell>
          <cell r="AO260">
            <v>0</v>
          </cell>
          <cell r="AP260">
            <v>0</v>
          </cell>
          <cell r="AQ260">
            <v>0</v>
          </cell>
          <cell r="AR260">
            <v>14036.652251908397</v>
          </cell>
          <cell r="AS260">
            <v>0</v>
          </cell>
          <cell r="AT260">
            <v>0</v>
          </cell>
          <cell r="AU260">
            <v>0</v>
          </cell>
        </row>
        <row r="261">
          <cell r="A261" t="str">
            <v>6.1.41</v>
          </cell>
          <cell r="AO261">
            <v>0</v>
          </cell>
          <cell r="AP261">
            <v>0</v>
          </cell>
          <cell r="AQ261">
            <v>0</v>
          </cell>
          <cell r="AR261">
            <v>356590.90155946405</v>
          </cell>
          <cell r="AS261">
            <v>0</v>
          </cell>
          <cell r="AT261">
            <v>0</v>
          </cell>
          <cell r="AU261">
            <v>0</v>
          </cell>
        </row>
        <row r="262">
          <cell r="A262" t="str">
            <v>6.1.42</v>
          </cell>
          <cell r="AO262">
            <v>0</v>
          </cell>
          <cell r="AP262">
            <v>0</v>
          </cell>
          <cell r="AQ262">
            <v>0</v>
          </cell>
          <cell r="AR262">
            <v>41016.163834717416</v>
          </cell>
          <cell r="AS262">
            <v>0</v>
          </cell>
          <cell r="AT262">
            <v>0</v>
          </cell>
          <cell r="AU262">
            <v>0</v>
          </cell>
        </row>
        <row r="263">
          <cell r="A263" t="str">
            <v>6.1.43</v>
          </cell>
          <cell r="AO263">
            <v>0</v>
          </cell>
          <cell r="AP263">
            <v>0</v>
          </cell>
          <cell r="AQ263">
            <v>0</v>
          </cell>
          <cell r="AR263">
            <v>18959.730637413646</v>
          </cell>
          <cell r="AS263">
            <v>0</v>
          </cell>
          <cell r="AT263">
            <v>0</v>
          </cell>
          <cell r="AU263">
            <v>0</v>
          </cell>
        </row>
        <row r="264">
          <cell r="A264" t="str">
            <v>6.1.44</v>
          </cell>
          <cell r="AO264">
            <v>0</v>
          </cell>
          <cell r="AP264">
            <v>0</v>
          </cell>
          <cell r="AQ264">
            <v>0</v>
          </cell>
          <cell r="AR264">
            <v>6481.5132061068707</v>
          </cell>
          <cell r="AS264">
            <v>0</v>
          </cell>
          <cell r="AT264">
            <v>0</v>
          </cell>
          <cell r="AU264">
            <v>0</v>
          </cell>
        </row>
        <row r="265">
          <cell r="A265" t="str">
            <v>6.1.45</v>
          </cell>
          <cell r="AO265">
            <v>0</v>
          </cell>
          <cell r="AP265">
            <v>0</v>
          </cell>
          <cell r="AQ265">
            <v>0</v>
          </cell>
          <cell r="AR265">
            <v>343644.48531860637</v>
          </cell>
          <cell r="AS265">
            <v>0</v>
          </cell>
          <cell r="AT265">
            <v>0</v>
          </cell>
          <cell r="AU265">
            <v>0</v>
          </cell>
        </row>
        <row r="266">
          <cell r="A266" t="str">
            <v>6.1.46</v>
          </cell>
          <cell r="AO266">
            <v>0</v>
          </cell>
          <cell r="AP266">
            <v>0</v>
          </cell>
          <cell r="AQ266">
            <v>0</v>
          </cell>
          <cell r="AR266">
            <v>42216.669086181573</v>
          </cell>
          <cell r="AS266">
            <v>0</v>
          </cell>
          <cell r="AT266">
            <v>0</v>
          </cell>
          <cell r="AU266">
            <v>0</v>
          </cell>
        </row>
        <row r="267">
          <cell r="A267" t="str">
            <v>6.1.47</v>
          </cell>
          <cell r="AO267">
            <v>0</v>
          </cell>
          <cell r="AP267">
            <v>0</v>
          </cell>
          <cell r="AQ267">
            <v>0</v>
          </cell>
          <cell r="AR267">
            <v>44229.962406392631</v>
          </cell>
          <cell r="AS267">
            <v>0</v>
          </cell>
          <cell r="AT267">
            <v>0</v>
          </cell>
          <cell r="AU267">
            <v>0</v>
          </cell>
        </row>
        <row r="268">
          <cell r="A268" t="str">
            <v>6.1.48</v>
          </cell>
          <cell r="AO268">
            <v>0</v>
          </cell>
          <cell r="AP268">
            <v>0</v>
          </cell>
          <cell r="AQ268">
            <v>0</v>
          </cell>
          <cell r="AR268">
            <v>38556.850045801519</v>
          </cell>
          <cell r="AS268">
            <v>0</v>
          </cell>
          <cell r="AT268">
            <v>0</v>
          </cell>
          <cell r="AU268">
            <v>0</v>
          </cell>
        </row>
        <row r="269">
          <cell r="A269" t="str">
            <v>6.1.58</v>
          </cell>
          <cell r="AO269">
            <v>0</v>
          </cell>
          <cell r="AP269">
            <v>0</v>
          </cell>
          <cell r="AQ269">
            <v>77238.902673947363</v>
          </cell>
          <cell r="AR269">
            <v>0</v>
          </cell>
          <cell r="AS269">
            <v>0</v>
          </cell>
          <cell r="AT269">
            <v>0</v>
          </cell>
          <cell r="AU269">
            <v>0</v>
          </cell>
        </row>
        <row r="270">
          <cell r="A270" t="str">
            <v>6.1.59</v>
          </cell>
          <cell r="AO270">
            <v>0</v>
          </cell>
          <cell r="AP270">
            <v>0</v>
          </cell>
          <cell r="AQ270">
            <v>58215.054505263157</v>
          </cell>
          <cell r="AR270">
            <v>0</v>
          </cell>
          <cell r="AS270">
            <v>0</v>
          </cell>
          <cell r="AT270">
            <v>0</v>
          </cell>
          <cell r="AU270">
            <v>0</v>
          </cell>
        </row>
        <row r="271">
          <cell r="A271" t="str">
            <v>6.1.68</v>
          </cell>
          <cell r="AO271">
            <v>0</v>
          </cell>
          <cell r="AP271">
            <v>0</v>
          </cell>
          <cell r="AQ271">
            <v>0</v>
          </cell>
          <cell r="AR271">
            <v>0</v>
          </cell>
          <cell r="AS271">
            <v>107710</v>
          </cell>
          <cell r="AT271">
            <v>0</v>
          </cell>
          <cell r="AU271">
            <v>0</v>
          </cell>
        </row>
        <row r="272">
          <cell r="A272" t="str">
            <v>6.1.69</v>
          </cell>
          <cell r="AO272">
            <v>0</v>
          </cell>
          <cell r="AP272">
            <v>0</v>
          </cell>
          <cell r="AQ272">
            <v>0</v>
          </cell>
          <cell r="AR272">
            <v>0</v>
          </cell>
          <cell r="AS272">
            <v>100585.68</v>
          </cell>
          <cell r="AT272">
            <v>0</v>
          </cell>
          <cell r="AU272">
            <v>0</v>
          </cell>
        </row>
        <row r="273">
          <cell r="A273" t="str">
            <v>6.1.70</v>
          </cell>
          <cell r="AO273">
            <v>0</v>
          </cell>
          <cell r="AP273">
            <v>0</v>
          </cell>
          <cell r="AQ273">
            <v>0</v>
          </cell>
          <cell r="AR273">
            <v>0</v>
          </cell>
          <cell r="AS273">
            <v>3606.0664791666677</v>
          </cell>
          <cell r="AT273">
            <v>0</v>
          </cell>
          <cell r="AU273">
            <v>0</v>
          </cell>
        </row>
        <row r="274">
          <cell r="A274" t="str">
            <v>6.1.71</v>
          </cell>
          <cell r="AO274">
            <v>0</v>
          </cell>
          <cell r="AP274">
            <v>0</v>
          </cell>
          <cell r="AQ274">
            <v>0</v>
          </cell>
          <cell r="AR274">
            <v>0</v>
          </cell>
          <cell r="AS274">
            <v>176024.93999999997</v>
          </cell>
          <cell r="AT274">
            <v>0</v>
          </cell>
          <cell r="AU274">
            <v>0</v>
          </cell>
        </row>
        <row r="275">
          <cell r="A275" t="str">
            <v>6.1.76</v>
          </cell>
          <cell r="AO275">
            <v>0</v>
          </cell>
          <cell r="AP275">
            <v>0</v>
          </cell>
          <cell r="AQ275">
            <v>0</v>
          </cell>
          <cell r="AR275">
            <v>0</v>
          </cell>
          <cell r="AS275">
            <v>75439.260000000009</v>
          </cell>
          <cell r="AT275">
            <v>0</v>
          </cell>
          <cell r="AU275">
            <v>0</v>
          </cell>
        </row>
        <row r="276">
          <cell r="A276" t="str">
            <v>6.1.112</v>
          </cell>
          <cell r="AO276">
            <v>0</v>
          </cell>
          <cell r="AP276">
            <v>0</v>
          </cell>
          <cell r="AQ276">
            <v>0</v>
          </cell>
          <cell r="AR276">
            <v>0</v>
          </cell>
          <cell r="AS276">
            <v>0</v>
          </cell>
          <cell r="AT276">
            <v>0</v>
          </cell>
          <cell r="AU276">
            <v>0</v>
          </cell>
        </row>
        <row r="277">
          <cell r="A277" t="str">
            <v>6.1.113</v>
          </cell>
          <cell r="AO277">
            <v>0</v>
          </cell>
          <cell r="AP277">
            <v>0</v>
          </cell>
          <cell r="AQ277">
            <v>0</v>
          </cell>
          <cell r="AR277">
            <v>0</v>
          </cell>
          <cell r="AS277">
            <v>0</v>
          </cell>
          <cell r="AT277">
            <v>0</v>
          </cell>
          <cell r="AU277">
            <v>0</v>
          </cell>
        </row>
        <row r="278">
          <cell r="A278" t="str">
            <v>6.1.114</v>
          </cell>
          <cell r="AO278">
            <v>0</v>
          </cell>
          <cell r="AP278">
            <v>0</v>
          </cell>
          <cell r="AQ278">
            <v>0</v>
          </cell>
          <cell r="AR278">
            <v>0</v>
          </cell>
          <cell r="AS278">
            <v>0</v>
          </cell>
          <cell r="AT278">
            <v>0</v>
          </cell>
          <cell r="AU278">
            <v>0</v>
          </cell>
        </row>
        <row r="279">
          <cell r="A279" t="str">
            <v>6.1.115</v>
          </cell>
          <cell r="AO279">
            <v>0</v>
          </cell>
          <cell r="AP279">
            <v>0</v>
          </cell>
          <cell r="AQ279">
            <v>0</v>
          </cell>
          <cell r="AR279">
            <v>0</v>
          </cell>
          <cell r="AS279">
            <v>0</v>
          </cell>
          <cell r="AT279">
            <v>0</v>
          </cell>
          <cell r="AU279">
            <v>0</v>
          </cell>
        </row>
        <row r="280">
          <cell r="A280" t="str">
            <v>6.1.116</v>
          </cell>
          <cell r="AO280">
            <v>0</v>
          </cell>
          <cell r="AP280">
            <v>0</v>
          </cell>
          <cell r="AQ280">
            <v>0</v>
          </cell>
          <cell r="AR280">
            <v>0</v>
          </cell>
          <cell r="AS280">
            <v>0</v>
          </cell>
          <cell r="AT280">
            <v>0</v>
          </cell>
          <cell r="AU280">
            <v>0</v>
          </cell>
        </row>
        <row r="281">
          <cell r="A281" t="str">
            <v>6.1.117</v>
          </cell>
          <cell r="AO281">
            <v>0</v>
          </cell>
          <cell r="AP281">
            <v>0</v>
          </cell>
          <cell r="AQ281">
            <v>0</v>
          </cell>
          <cell r="AR281">
            <v>0</v>
          </cell>
          <cell r="AS281">
            <v>0</v>
          </cell>
          <cell r="AT281">
            <v>0</v>
          </cell>
          <cell r="AU281">
            <v>0</v>
          </cell>
        </row>
        <row r="282">
          <cell r="A282" t="str">
            <v>6.1.118</v>
          </cell>
          <cell r="AO282">
            <v>0</v>
          </cell>
          <cell r="AP282">
            <v>0</v>
          </cell>
          <cell r="AQ282">
            <v>0</v>
          </cell>
          <cell r="AR282">
            <v>0</v>
          </cell>
          <cell r="AS282">
            <v>0</v>
          </cell>
          <cell r="AT282">
            <v>0</v>
          </cell>
          <cell r="AU282">
            <v>0</v>
          </cell>
        </row>
        <row r="283">
          <cell r="A283" t="str">
            <v>6.1.119</v>
          </cell>
          <cell r="AO283">
            <v>0</v>
          </cell>
          <cell r="AP283">
            <v>0</v>
          </cell>
          <cell r="AQ283">
            <v>0</v>
          </cell>
          <cell r="AR283">
            <v>0</v>
          </cell>
          <cell r="AS283">
            <v>0</v>
          </cell>
          <cell r="AT283">
            <v>0</v>
          </cell>
          <cell r="AU283">
            <v>0</v>
          </cell>
        </row>
        <row r="284">
          <cell r="A284" t="str">
            <v>6.1.120</v>
          </cell>
          <cell r="AO284">
            <v>0</v>
          </cell>
          <cell r="AP284">
            <v>0</v>
          </cell>
          <cell r="AQ284">
            <v>0</v>
          </cell>
          <cell r="AR284">
            <v>0</v>
          </cell>
          <cell r="AS284">
            <v>0</v>
          </cell>
          <cell r="AT284">
            <v>0</v>
          </cell>
          <cell r="AU284">
            <v>0</v>
          </cell>
        </row>
        <row r="285">
          <cell r="A285" t="str">
            <v>6.1.121</v>
          </cell>
          <cell r="AO285">
            <v>0</v>
          </cell>
          <cell r="AP285">
            <v>0</v>
          </cell>
          <cell r="AQ285">
            <v>0</v>
          </cell>
          <cell r="AR285">
            <v>0</v>
          </cell>
          <cell r="AS285">
            <v>0</v>
          </cell>
          <cell r="AT285">
            <v>0</v>
          </cell>
          <cell r="AU285">
            <v>0</v>
          </cell>
        </row>
        <row r="286">
          <cell r="A286" t="str">
            <v>6.1.122</v>
          </cell>
          <cell r="AO286">
            <v>0</v>
          </cell>
          <cell r="AP286">
            <v>0</v>
          </cell>
          <cell r="AQ286">
            <v>0</v>
          </cell>
          <cell r="AR286">
            <v>0</v>
          </cell>
          <cell r="AS286">
            <v>0</v>
          </cell>
          <cell r="AT286">
            <v>0</v>
          </cell>
          <cell r="AU286">
            <v>0</v>
          </cell>
        </row>
        <row r="287">
          <cell r="A287" t="str">
            <v>6.1.123</v>
          </cell>
          <cell r="AO287">
            <v>0</v>
          </cell>
          <cell r="AP287">
            <v>0</v>
          </cell>
          <cell r="AQ287">
            <v>0</v>
          </cell>
          <cell r="AR287">
            <v>0</v>
          </cell>
          <cell r="AS287">
            <v>0</v>
          </cell>
          <cell r="AT287">
            <v>0</v>
          </cell>
          <cell r="AU287">
            <v>0</v>
          </cell>
        </row>
        <row r="288">
          <cell r="A288" t="str">
            <v>6.1.124</v>
          </cell>
          <cell r="AO288">
            <v>0</v>
          </cell>
          <cell r="AP288">
            <v>0</v>
          </cell>
          <cell r="AQ288">
            <v>0</v>
          </cell>
          <cell r="AR288">
            <v>0</v>
          </cell>
          <cell r="AS288">
            <v>0</v>
          </cell>
          <cell r="AT288">
            <v>0</v>
          </cell>
          <cell r="AU288">
            <v>0</v>
          </cell>
        </row>
        <row r="289">
          <cell r="A289" t="str">
            <v>6.1.125</v>
          </cell>
          <cell r="AO289">
            <v>0</v>
          </cell>
          <cell r="AP289">
            <v>0</v>
          </cell>
          <cell r="AQ289">
            <v>0</v>
          </cell>
          <cell r="AR289">
            <v>0</v>
          </cell>
          <cell r="AS289">
            <v>0</v>
          </cell>
          <cell r="AT289">
            <v>0</v>
          </cell>
          <cell r="AU289">
            <v>0</v>
          </cell>
        </row>
        <row r="290">
          <cell r="A290" t="str">
            <v>6.1.126</v>
          </cell>
          <cell r="AO290">
            <v>0</v>
          </cell>
          <cell r="AP290">
            <v>0</v>
          </cell>
          <cell r="AQ290">
            <v>0</v>
          </cell>
          <cell r="AR290">
            <v>0</v>
          </cell>
          <cell r="AS290">
            <v>0</v>
          </cell>
          <cell r="AT290">
            <v>0</v>
          </cell>
          <cell r="AU290">
            <v>0</v>
          </cell>
        </row>
        <row r="291">
          <cell r="A291" t="str">
            <v>6.1.127</v>
          </cell>
          <cell r="AO291">
            <v>0</v>
          </cell>
          <cell r="AP291">
            <v>0</v>
          </cell>
          <cell r="AQ291">
            <v>0</v>
          </cell>
          <cell r="AR291">
            <v>0</v>
          </cell>
          <cell r="AS291">
            <v>0</v>
          </cell>
          <cell r="AT291">
            <v>0</v>
          </cell>
          <cell r="AU291">
            <v>0</v>
          </cell>
        </row>
        <row r="292">
          <cell r="A292" t="str">
            <v>6.1.128</v>
          </cell>
          <cell r="AO292">
            <v>0</v>
          </cell>
          <cell r="AP292">
            <v>0</v>
          </cell>
          <cell r="AQ292">
            <v>0</v>
          </cell>
          <cell r="AR292">
            <v>0</v>
          </cell>
          <cell r="AS292">
            <v>0</v>
          </cell>
          <cell r="AT292">
            <v>0</v>
          </cell>
          <cell r="AU292">
            <v>0</v>
          </cell>
        </row>
        <row r="293">
          <cell r="A293" t="str">
            <v>6.1.129</v>
          </cell>
          <cell r="AO293">
            <v>0</v>
          </cell>
          <cell r="AP293">
            <v>0</v>
          </cell>
          <cell r="AQ293">
            <v>0</v>
          </cell>
          <cell r="AR293">
            <v>0</v>
          </cell>
          <cell r="AS293">
            <v>0</v>
          </cell>
          <cell r="AT293">
            <v>0</v>
          </cell>
          <cell r="AU293">
            <v>0</v>
          </cell>
        </row>
        <row r="294">
          <cell r="A294">
            <v>0</v>
          </cell>
          <cell r="AO294">
            <v>0</v>
          </cell>
          <cell r="AP294">
            <v>0</v>
          </cell>
          <cell r="AQ294">
            <v>135453.95717921053</v>
          </cell>
          <cell r="AR294">
            <v>1183972.1376851606</v>
          </cell>
          <cell r="AS294">
            <v>463365.94647916663</v>
          </cell>
          <cell r="AT294">
            <v>0</v>
          </cell>
          <cell r="AU294">
            <v>0</v>
          </cell>
        </row>
        <row r="295">
          <cell r="A295" t="str">
            <v>6.1.11</v>
          </cell>
          <cell r="AO295">
            <v>0</v>
          </cell>
          <cell r="AP295">
            <v>129347.38036394255</v>
          </cell>
          <cell r="AQ295">
            <v>0</v>
          </cell>
          <cell r="AR295">
            <v>0</v>
          </cell>
          <cell r="AS295">
            <v>0</v>
          </cell>
          <cell r="AT295">
            <v>0</v>
          </cell>
          <cell r="AU295">
            <v>0</v>
          </cell>
        </row>
        <row r="296">
          <cell r="A296" t="str">
            <v>6.1.13</v>
          </cell>
          <cell r="AO296">
            <v>0</v>
          </cell>
          <cell r="AP296">
            <v>0</v>
          </cell>
          <cell r="AQ296">
            <v>0</v>
          </cell>
          <cell r="AR296">
            <v>0</v>
          </cell>
          <cell r="AS296">
            <v>0</v>
          </cell>
          <cell r="AT296">
            <v>0</v>
          </cell>
          <cell r="AU296">
            <v>0</v>
          </cell>
        </row>
        <row r="297">
          <cell r="A297" t="str">
            <v>6.1.49</v>
          </cell>
          <cell r="AO297">
            <v>0</v>
          </cell>
          <cell r="AP297">
            <v>0</v>
          </cell>
          <cell r="AQ297">
            <v>0</v>
          </cell>
          <cell r="AR297">
            <v>64661.923339694658</v>
          </cell>
          <cell r="AS297">
            <v>0</v>
          </cell>
          <cell r="AT297">
            <v>0</v>
          </cell>
          <cell r="AU297">
            <v>0</v>
          </cell>
        </row>
        <row r="298">
          <cell r="A298" t="str">
            <v>6.1.60</v>
          </cell>
          <cell r="AO298">
            <v>0</v>
          </cell>
          <cell r="AP298">
            <v>0</v>
          </cell>
          <cell r="AQ298">
            <v>42859.310717799672</v>
          </cell>
          <cell r="AR298">
            <v>0</v>
          </cell>
          <cell r="AS298">
            <v>0</v>
          </cell>
          <cell r="AT298">
            <v>0</v>
          </cell>
          <cell r="AU298">
            <v>0</v>
          </cell>
        </row>
        <row r="299">
          <cell r="A299" t="str">
            <v>6.1.61</v>
          </cell>
          <cell r="AO299">
            <v>0</v>
          </cell>
          <cell r="AP299">
            <v>0</v>
          </cell>
          <cell r="AQ299">
            <v>97052.812296631571</v>
          </cell>
          <cell r="AR299">
            <v>0</v>
          </cell>
          <cell r="AS299">
            <v>0</v>
          </cell>
          <cell r="AT299">
            <v>0</v>
          </cell>
          <cell r="AU299">
            <v>0</v>
          </cell>
        </row>
        <row r="300">
          <cell r="A300" t="str">
            <v>6.1.74</v>
          </cell>
          <cell r="AO300">
            <v>0</v>
          </cell>
          <cell r="AP300">
            <v>0</v>
          </cell>
          <cell r="AQ300">
            <v>0</v>
          </cell>
          <cell r="AR300">
            <v>0</v>
          </cell>
          <cell r="AS300">
            <v>129818.39324999999</v>
          </cell>
          <cell r="AT300">
            <v>0</v>
          </cell>
          <cell r="AU300">
            <v>0</v>
          </cell>
        </row>
        <row r="301">
          <cell r="A301" t="str">
            <v>6.1.75</v>
          </cell>
          <cell r="AO301">
            <v>0</v>
          </cell>
          <cell r="AP301">
            <v>0</v>
          </cell>
          <cell r="AQ301">
            <v>0</v>
          </cell>
          <cell r="AR301">
            <v>0</v>
          </cell>
          <cell r="AS301">
            <v>375637.87300000002</v>
          </cell>
          <cell r="AT301">
            <v>0</v>
          </cell>
          <cell r="AU301">
            <v>0</v>
          </cell>
        </row>
        <row r="302">
          <cell r="A302" t="str">
            <v>6.1.130</v>
          </cell>
          <cell r="AO302">
            <v>0</v>
          </cell>
          <cell r="AP302">
            <v>0</v>
          </cell>
          <cell r="AQ302">
            <v>0</v>
          </cell>
          <cell r="AR302">
            <v>0</v>
          </cell>
          <cell r="AS302">
            <v>0</v>
          </cell>
          <cell r="AT302">
            <v>0</v>
          </cell>
          <cell r="AU302">
            <v>0</v>
          </cell>
        </row>
        <row r="303">
          <cell r="AO303">
            <v>0</v>
          </cell>
          <cell r="AP303">
            <v>129347.38036394255</v>
          </cell>
          <cell r="AQ303">
            <v>139912.12301443124</v>
          </cell>
          <cell r="AR303">
            <v>64661.923339694658</v>
          </cell>
          <cell r="AS303">
            <v>505456.26624999999</v>
          </cell>
          <cell r="AT303">
            <v>0</v>
          </cell>
          <cell r="AU303">
            <v>0</v>
          </cell>
        </row>
        <row r="305">
          <cell r="A305" t="str">
            <v>6.2.12</v>
          </cell>
          <cell r="AO305">
            <v>0</v>
          </cell>
          <cell r="AP305">
            <v>0</v>
          </cell>
          <cell r="AQ305">
            <v>0</v>
          </cell>
          <cell r="AR305">
            <v>0</v>
          </cell>
          <cell r="AS305">
            <v>0</v>
          </cell>
          <cell r="AT305">
            <v>0</v>
          </cell>
          <cell r="AU305">
            <v>0</v>
          </cell>
        </row>
        <row r="306">
          <cell r="A306" t="str">
            <v>6.2.17</v>
          </cell>
          <cell r="AO306">
            <v>0</v>
          </cell>
          <cell r="AP306">
            <v>0</v>
          </cell>
          <cell r="AQ306">
            <v>345819.50610002328</v>
          </cell>
          <cell r="AR306">
            <v>0</v>
          </cell>
          <cell r="AS306">
            <v>0</v>
          </cell>
          <cell r="AT306">
            <v>0</v>
          </cell>
          <cell r="AU306">
            <v>0</v>
          </cell>
        </row>
        <row r="307">
          <cell r="A307" t="str">
            <v>6.2.18</v>
          </cell>
          <cell r="AO307">
            <v>0</v>
          </cell>
          <cell r="AP307">
            <v>0</v>
          </cell>
          <cell r="AQ307">
            <v>22288.954492527508</v>
          </cell>
          <cell r="AR307">
            <v>0</v>
          </cell>
          <cell r="AS307">
            <v>0</v>
          </cell>
          <cell r="AT307">
            <v>0</v>
          </cell>
          <cell r="AU307">
            <v>0</v>
          </cell>
        </row>
        <row r="308">
          <cell r="A308" t="str">
            <v>6.2.19</v>
          </cell>
          <cell r="AO308">
            <v>0</v>
          </cell>
          <cell r="AP308">
            <v>0</v>
          </cell>
          <cell r="AQ308">
            <v>120465.98580230026</v>
          </cell>
          <cell r="AR308">
            <v>0</v>
          </cell>
          <cell r="AS308">
            <v>0</v>
          </cell>
          <cell r="AT308">
            <v>0</v>
          </cell>
          <cell r="AU308">
            <v>0</v>
          </cell>
        </row>
        <row r="309">
          <cell r="A309" t="str">
            <v>6.2.33</v>
          </cell>
          <cell r="AO309">
            <v>0</v>
          </cell>
          <cell r="AP309">
            <v>0</v>
          </cell>
          <cell r="AQ309">
            <v>0</v>
          </cell>
          <cell r="AR309">
            <v>0</v>
          </cell>
          <cell r="AS309">
            <v>125732.09999999998</v>
          </cell>
          <cell r="AT309">
            <v>0</v>
          </cell>
          <cell r="AU309">
            <v>0</v>
          </cell>
        </row>
        <row r="310">
          <cell r="A310" t="str">
            <v>6.2.41</v>
          </cell>
          <cell r="AO310">
            <v>0</v>
          </cell>
          <cell r="AP310">
            <v>79862.335558093197</v>
          </cell>
          <cell r="AQ310">
            <v>0</v>
          </cell>
          <cell r="AR310">
            <v>0</v>
          </cell>
          <cell r="AS310">
            <v>0</v>
          </cell>
          <cell r="AT310">
            <v>0</v>
          </cell>
          <cell r="AU310">
            <v>0</v>
          </cell>
        </row>
        <row r="311">
          <cell r="A311" t="str">
            <v>6.2.53</v>
          </cell>
          <cell r="AO311">
            <v>0</v>
          </cell>
          <cell r="AP311">
            <v>0</v>
          </cell>
          <cell r="AQ311">
            <v>0</v>
          </cell>
          <cell r="AR311">
            <v>179023.10965648855</v>
          </cell>
          <cell r="AS311">
            <v>0</v>
          </cell>
          <cell r="AT311">
            <v>0</v>
          </cell>
          <cell r="AU311">
            <v>0</v>
          </cell>
        </row>
        <row r="312">
          <cell r="A312" t="str">
            <v>6.2.54</v>
          </cell>
          <cell r="AO312">
            <v>0</v>
          </cell>
          <cell r="AP312">
            <v>0</v>
          </cell>
          <cell r="AQ312">
            <v>0</v>
          </cell>
          <cell r="AR312">
            <v>40698.075877862597</v>
          </cell>
          <cell r="AS312">
            <v>0</v>
          </cell>
          <cell r="AT312">
            <v>0</v>
          </cell>
          <cell r="AU312">
            <v>0</v>
          </cell>
        </row>
        <row r="313">
          <cell r="A313" t="str">
            <v>6.2.55</v>
          </cell>
          <cell r="AO313">
            <v>0</v>
          </cell>
          <cell r="AP313">
            <v>0</v>
          </cell>
          <cell r="AQ313">
            <v>0</v>
          </cell>
          <cell r="AR313">
            <v>97065.83969465649</v>
          </cell>
          <cell r="AS313">
            <v>0</v>
          </cell>
          <cell r="AT313">
            <v>0</v>
          </cell>
          <cell r="AU313">
            <v>0</v>
          </cell>
        </row>
        <row r="314">
          <cell r="A314" t="str">
            <v>6.2.56</v>
          </cell>
          <cell r="AO314">
            <v>0</v>
          </cell>
          <cell r="AP314">
            <v>0</v>
          </cell>
          <cell r="AQ314">
            <v>0</v>
          </cell>
          <cell r="AR314">
            <v>152051.1529961832</v>
          </cell>
          <cell r="AS314">
            <v>0</v>
          </cell>
          <cell r="AT314">
            <v>0</v>
          </cell>
          <cell r="AU314">
            <v>0</v>
          </cell>
        </row>
        <row r="315">
          <cell r="A315">
            <v>0</v>
          </cell>
          <cell r="AO315">
            <v>0</v>
          </cell>
          <cell r="AP315">
            <v>79862.335558093197</v>
          </cell>
          <cell r="AQ315">
            <v>488574.44639485108</v>
          </cell>
          <cell r="AR315">
            <v>468838.17822519084</v>
          </cell>
          <cell r="AS315">
            <v>125732.09999999998</v>
          </cell>
          <cell r="AT315">
            <v>0</v>
          </cell>
          <cell r="AU315">
            <v>0</v>
          </cell>
        </row>
        <row r="316">
          <cell r="A316" t="str">
            <v>6.2.13</v>
          </cell>
          <cell r="AO316">
            <v>0</v>
          </cell>
          <cell r="AP316">
            <v>118719.70031327801</v>
          </cell>
          <cell r="AQ316">
            <v>0</v>
          </cell>
          <cell r="AR316">
            <v>0</v>
          </cell>
          <cell r="AS316">
            <v>0</v>
          </cell>
          <cell r="AT316">
            <v>0</v>
          </cell>
          <cell r="AU316">
            <v>0</v>
          </cell>
        </row>
        <row r="317">
          <cell r="A317" t="str">
            <v>6.2.26</v>
          </cell>
          <cell r="AO317">
            <v>0</v>
          </cell>
          <cell r="AP317">
            <v>0</v>
          </cell>
          <cell r="AQ317">
            <v>0</v>
          </cell>
          <cell r="AR317">
            <v>0</v>
          </cell>
          <cell r="AS317">
            <v>86545.595499999996</v>
          </cell>
          <cell r="AT317">
            <v>0</v>
          </cell>
          <cell r="AU317">
            <v>0</v>
          </cell>
        </row>
        <row r="318">
          <cell r="A318" t="str">
            <v>6.2.57</v>
          </cell>
          <cell r="AO318">
            <v>0</v>
          </cell>
          <cell r="AP318">
            <v>0</v>
          </cell>
          <cell r="AQ318">
            <v>0</v>
          </cell>
          <cell r="AR318">
            <v>58252.394160305339</v>
          </cell>
          <cell r="AS318">
            <v>0</v>
          </cell>
          <cell r="AT318">
            <v>0</v>
          </cell>
          <cell r="AU318">
            <v>0</v>
          </cell>
        </row>
        <row r="319">
          <cell r="A319" t="str">
            <v>6.2.58</v>
          </cell>
          <cell r="AO319">
            <v>0</v>
          </cell>
          <cell r="AP319">
            <v>0</v>
          </cell>
          <cell r="AQ319">
            <v>0</v>
          </cell>
          <cell r="AR319">
            <v>62084.009942748089</v>
          </cell>
          <cell r="AS319">
            <v>0</v>
          </cell>
          <cell r="AT319">
            <v>0</v>
          </cell>
          <cell r="AU319">
            <v>0</v>
          </cell>
        </row>
        <row r="320">
          <cell r="A320" t="str">
            <v>6.2.65</v>
          </cell>
          <cell r="AO320">
            <v>0</v>
          </cell>
          <cell r="AP320">
            <v>0</v>
          </cell>
          <cell r="AQ320">
            <v>0</v>
          </cell>
          <cell r="AR320">
            <v>0</v>
          </cell>
          <cell r="AS320">
            <v>0</v>
          </cell>
          <cell r="AT320">
            <v>0</v>
          </cell>
          <cell r="AU320">
            <v>59272.089881808213</v>
          </cell>
        </row>
        <row r="321">
          <cell r="A321" t="str">
            <v>6.2.70</v>
          </cell>
          <cell r="AO321">
            <v>0</v>
          </cell>
          <cell r="AP321">
            <v>0</v>
          </cell>
          <cell r="AQ321">
            <v>68559.591494953565</v>
          </cell>
          <cell r="AR321">
            <v>0</v>
          </cell>
          <cell r="AS321">
            <v>0</v>
          </cell>
          <cell r="AT321">
            <v>0</v>
          </cell>
          <cell r="AU321">
            <v>0</v>
          </cell>
        </row>
        <row r="322">
          <cell r="A322">
            <v>0</v>
          </cell>
          <cell r="AO322">
            <v>0</v>
          </cell>
          <cell r="AP322">
            <v>118719.70031327801</v>
          </cell>
          <cell r="AQ322">
            <v>68559.591494953565</v>
          </cell>
          <cell r="AR322">
            <v>120336.40410305343</v>
          </cell>
          <cell r="AS322">
            <v>86545.595499999996</v>
          </cell>
          <cell r="AT322">
            <v>0</v>
          </cell>
          <cell r="AU322">
            <v>59272.089881808213</v>
          </cell>
        </row>
        <row r="323">
          <cell r="A323" t="str">
            <v>6.2.1</v>
          </cell>
          <cell r="AO323">
            <v>0</v>
          </cell>
          <cell r="AP323">
            <v>98954.939495669067</v>
          </cell>
          <cell r="AQ323">
            <v>0</v>
          </cell>
          <cell r="AR323">
            <v>0</v>
          </cell>
          <cell r="AS323">
            <v>0</v>
          </cell>
          <cell r="AT323">
            <v>0</v>
          </cell>
          <cell r="AU323">
            <v>0</v>
          </cell>
        </row>
        <row r="324">
          <cell r="A324" t="str">
            <v>6.2.21</v>
          </cell>
          <cell r="AO324">
            <v>0</v>
          </cell>
          <cell r="AP324">
            <v>0</v>
          </cell>
          <cell r="AQ324">
            <v>0</v>
          </cell>
          <cell r="AR324">
            <v>0</v>
          </cell>
          <cell r="AS324">
            <v>0</v>
          </cell>
          <cell r="AT324">
            <v>0</v>
          </cell>
          <cell r="AU324">
            <v>0</v>
          </cell>
        </row>
        <row r="325">
          <cell r="A325" t="str">
            <v>6.2.22</v>
          </cell>
          <cell r="AO325">
            <v>0</v>
          </cell>
          <cell r="AP325">
            <v>0</v>
          </cell>
          <cell r="AQ325">
            <v>171219.12632913599</v>
          </cell>
          <cell r="AR325">
            <v>0</v>
          </cell>
          <cell r="AS325">
            <v>0</v>
          </cell>
          <cell r="AT325">
            <v>0</v>
          </cell>
          <cell r="AU325">
            <v>0</v>
          </cell>
        </row>
        <row r="326">
          <cell r="A326" t="str">
            <v>6.2.24</v>
          </cell>
          <cell r="AO326">
            <v>0</v>
          </cell>
          <cell r="AP326">
            <v>0</v>
          </cell>
          <cell r="AQ326">
            <v>0</v>
          </cell>
          <cell r="AR326">
            <v>0</v>
          </cell>
          <cell r="AS326">
            <v>75622.365000000005</v>
          </cell>
          <cell r="AT326">
            <v>0</v>
          </cell>
          <cell r="AU326">
            <v>0</v>
          </cell>
        </row>
        <row r="327">
          <cell r="A327" t="str">
            <v>6.2.6</v>
          </cell>
          <cell r="AO327">
            <v>0</v>
          </cell>
          <cell r="AP327">
            <v>215693.0323624828</v>
          </cell>
          <cell r="AQ327">
            <v>0</v>
          </cell>
          <cell r="AR327">
            <v>0</v>
          </cell>
          <cell r="AS327">
            <v>0</v>
          </cell>
          <cell r="AT327">
            <v>0</v>
          </cell>
          <cell r="AU327">
            <v>0</v>
          </cell>
        </row>
        <row r="328">
          <cell r="A328" t="str">
            <v>6.2.25</v>
          </cell>
          <cell r="AO328">
            <v>0</v>
          </cell>
          <cell r="AP328">
            <v>0</v>
          </cell>
          <cell r="AQ328">
            <v>0</v>
          </cell>
          <cell r="AR328">
            <v>0</v>
          </cell>
          <cell r="AS328">
            <v>61035</v>
          </cell>
          <cell r="AT328">
            <v>0</v>
          </cell>
          <cell r="AU328">
            <v>0</v>
          </cell>
        </row>
        <row r="329">
          <cell r="A329" t="str">
            <v>6.2.46</v>
          </cell>
          <cell r="AO329">
            <v>0</v>
          </cell>
          <cell r="AP329">
            <v>0</v>
          </cell>
          <cell r="AQ329">
            <v>0</v>
          </cell>
          <cell r="AR329">
            <v>59565.966755725189</v>
          </cell>
          <cell r="AS329">
            <v>0</v>
          </cell>
          <cell r="AT329">
            <v>0</v>
          </cell>
          <cell r="AU329">
            <v>0</v>
          </cell>
        </row>
        <row r="330">
          <cell r="A330" t="str">
            <v>6.2.47</v>
          </cell>
          <cell r="AO330">
            <v>0</v>
          </cell>
          <cell r="AP330">
            <v>0</v>
          </cell>
          <cell r="AQ330">
            <v>0</v>
          </cell>
          <cell r="AR330">
            <v>81535.305343511456</v>
          </cell>
          <cell r="AS330">
            <v>0</v>
          </cell>
          <cell r="AT330">
            <v>0</v>
          </cell>
          <cell r="AU330">
            <v>0</v>
          </cell>
        </row>
        <row r="331">
          <cell r="A331" t="str">
            <v>6.2.48</v>
          </cell>
          <cell r="AO331">
            <v>0</v>
          </cell>
          <cell r="AP331">
            <v>0</v>
          </cell>
          <cell r="AQ331">
            <v>0</v>
          </cell>
          <cell r="AR331">
            <v>0</v>
          </cell>
          <cell r="AS331">
            <v>0</v>
          </cell>
          <cell r="AT331">
            <v>0</v>
          </cell>
          <cell r="AU331">
            <v>0</v>
          </cell>
        </row>
        <row r="332">
          <cell r="A332" t="str">
            <v>6.2.66</v>
          </cell>
          <cell r="AO332">
            <v>0</v>
          </cell>
          <cell r="AP332">
            <v>0</v>
          </cell>
          <cell r="AQ332">
            <v>0</v>
          </cell>
          <cell r="AR332">
            <v>0</v>
          </cell>
          <cell r="AS332">
            <v>0</v>
          </cell>
          <cell r="AT332">
            <v>46048.443458755472</v>
          </cell>
          <cell r="AU332">
            <v>0</v>
          </cell>
        </row>
        <row r="333">
          <cell r="A333" t="str">
            <v>6.2.67</v>
          </cell>
          <cell r="AO333">
            <v>0</v>
          </cell>
          <cell r="AP333">
            <v>0</v>
          </cell>
          <cell r="AQ333">
            <v>0</v>
          </cell>
          <cell r="AR333">
            <v>0</v>
          </cell>
          <cell r="AS333">
            <v>0</v>
          </cell>
          <cell r="AT333">
            <v>55692.552145414797</v>
          </cell>
          <cell r="AU333">
            <v>0</v>
          </cell>
        </row>
        <row r="334">
          <cell r="A334">
            <v>0</v>
          </cell>
          <cell r="AO334">
            <v>0</v>
          </cell>
          <cell r="AP334">
            <v>314647.97185815184</v>
          </cell>
          <cell r="AQ334">
            <v>171219.12632913599</v>
          </cell>
          <cell r="AR334">
            <v>141101.27209923664</v>
          </cell>
          <cell r="AS334">
            <v>136657.36499999999</v>
          </cell>
          <cell r="AT334">
            <v>101740.99560417027</v>
          </cell>
          <cell r="AU334">
            <v>0</v>
          </cell>
        </row>
        <row r="335">
          <cell r="A335" t="str">
            <v>6.2.35</v>
          </cell>
          <cell r="AO335">
            <v>0</v>
          </cell>
          <cell r="AP335">
            <v>0</v>
          </cell>
          <cell r="AQ335">
            <v>0</v>
          </cell>
          <cell r="AR335">
            <v>0</v>
          </cell>
          <cell r="AS335">
            <v>0</v>
          </cell>
          <cell r="AT335">
            <v>0</v>
          </cell>
          <cell r="AU335">
            <v>0</v>
          </cell>
        </row>
        <row r="336">
          <cell r="A336" t="str">
            <v>6.2.36</v>
          </cell>
          <cell r="AO336">
            <v>0</v>
          </cell>
          <cell r="AP336">
            <v>0</v>
          </cell>
          <cell r="AQ336">
            <v>0</v>
          </cell>
          <cell r="AR336">
            <v>0</v>
          </cell>
          <cell r="AS336">
            <v>0</v>
          </cell>
          <cell r="AT336">
            <v>0</v>
          </cell>
          <cell r="AU336">
            <v>0</v>
          </cell>
        </row>
        <row r="337">
          <cell r="A337" t="str">
            <v>6.2.38</v>
          </cell>
          <cell r="AO337">
            <v>0</v>
          </cell>
          <cell r="AP337">
            <v>0</v>
          </cell>
          <cell r="AQ337">
            <v>0</v>
          </cell>
          <cell r="AR337">
            <v>0</v>
          </cell>
          <cell r="AS337">
            <v>0</v>
          </cell>
          <cell r="AT337">
            <v>92132.387009087703</v>
          </cell>
          <cell r="AU337">
            <v>0</v>
          </cell>
        </row>
        <row r="338">
          <cell r="A338" t="str">
            <v>6.2.62</v>
          </cell>
          <cell r="AO338">
            <v>0</v>
          </cell>
          <cell r="AP338">
            <v>0</v>
          </cell>
          <cell r="AQ338">
            <v>2.8112724239158268E-2</v>
          </cell>
          <cell r="AR338">
            <v>0</v>
          </cell>
          <cell r="AS338">
            <v>0</v>
          </cell>
          <cell r="AT338">
            <v>0</v>
          </cell>
          <cell r="AU338">
            <v>0</v>
          </cell>
        </row>
        <row r="339">
          <cell r="A339" t="str">
            <v>6.2.2</v>
          </cell>
          <cell r="AO339">
            <v>0</v>
          </cell>
          <cell r="AP339">
            <v>164369.93501053622</v>
          </cell>
          <cell r="AQ339">
            <v>0</v>
          </cell>
          <cell r="AR339">
            <v>0</v>
          </cell>
          <cell r="AS339">
            <v>0</v>
          </cell>
          <cell r="AT339">
            <v>0</v>
          </cell>
          <cell r="AU339">
            <v>0</v>
          </cell>
        </row>
        <row r="340">
          <cell r="A340" t="str">
            <v>6.2.23</v>
          </cell>
          <cell r="AO340">
            <v>0</v>
          </cell>
          <cell r="AP340">
            <v>0</v>
          </cell>
          <cell r="AQ340">
            <v>-25558.807796052639</v>
          </cell>
          <cell r="AR340">
            <v>0</v>
          </cell>
          <cell r="AS340">
            <v>0</v>
          </cell>
          <cell r="AT340">
            <v>0</v>
          </cell>
          <cell r="AU340">
            <v>0</v>
          </cell>
        </row>
        <row r="341">
          <cell r="A341" t="str">
            <v>6.2.49</v>
          </cell>
          <cell r="AO341">
            <v>0</v>
          </cell>
          <cell r="AP341">
            <v>0</v>
          </cell>
          <cell r="AQ341">
            <v>0</v>
          </cell>
          <cell r="AR341">
            <v>112013.41369618321</v>
          </cell>
          <cell r="AS341">
            <v>0</v>
          </cell>
          <cell r="AT341">
            <v>0</v>
          </cell>
          <cell r="AU341">
            <v>0</v>
          </cell>
        </row>
        <row r="342">
          <cell r="A342" t="str">
            <v>6.2.50</v>
          </cell>
          <cell r="AO342">
            <v>0</v>
          </cell>
          <cell r="AP342">
            <v>0</v>
          </cell>
          <cell r="AQ342">
            <v>0</v>
          </cell>
          <cell r="AR342">
            <v>78194.572478625952</v>
          </cell>
          <cell r="AS342">
            <v>0</v>
          </cell>
          <cell r="AT342">
            <v>0</v>
          </cell>
          <cell r="AU342">
            <v>0</v>
          </cell>
        </row>
        <row r="343">
          <cell r="A343" t="str">
            <v>6.2.63</v>
          </cell>
          <cell r="AO343">
            <v>0</v>
          </cell>
          <cell r="AP343">
            <v>0</v>
          </cell>
          <cell r="AQ343">
            <v>0</v>
          </cell>
          <cell r="AR343">
            <v>0</v>
          </cell>
          <cell r="AS343">
            <v>0</v>
          </cell>
          <cell r="AT343">
            <v>0</v>
          </cell>
          <cell r="AU343">
            <v>205635.16421133047</v>
          </cell>
        </row>
        <row r="344">
          <cell r="A344" t="str">
            <v>6.2.69</v>
          </cell>
          <cell r="AO344">
            <v>0</v>
          </cell>
          <cell r="AP344">
            <v>0</v>
          </cell>
          <cell r="AQ344">
            <v>24187.245337894736</v>
          </cell>
          <cell r="AR344">
            <v>0</v>
          </cell>
          <cell r="AS344">
            <v>0</v>
          </cell>
          <cell r="AT344">
            <v>0</v>
          </cell>
          <cell r="AU344">
            <v>0</v>
          </cell>
        </row>
        <row r="345">
          <cell r="A345">
            <v>0</v>
          </cell>
          <cell r="AO345">
            <v>0</v>
          </cell>
          <cell r="AP345">
            <v>164369.93501053622</v>
          </cell>
          <cell r="AQ345">
            <v>-1371.5343454336653</v>
          </cell>
          <cell r="AR345">
            <v>190207.98617480916</v>
          </cell>
          <cell r="AS345">
            <v>0</v>
          </cell>
          <cell r="AT345">
            <v>92132.387009087703</v>
          </cell>
          <cell r="AU345">
            <v>205635.16421133047</v>
          </cell>
        </row>
        <row r="346">
          <cell r="A346" t="str">
            <v>6.2.27</v>
          </cell>
          <cell r="AO346">
            <v>0</v>
          </cell>
          <cell r="AP346">
            <v>0</v>
          </cell>
          <cell r="AQ346">
            <v>0</v>
          </cell>
          <cell r="AR346">
            <v>0</v>
          </cell>
          <cell r="AS346">
            <v>167642.79999999996</v>
          </cell>
          <cell r="AT346">
            <v>0</v>
          </cell>
          <cell r="AU346">
            <v>0</v>
          </cell>
        </row>
        <row r="347">
          <cell r="A347" t="str">
            <v>6.2.29</v>
          </cell>
          <cell r="AO347">
            <v>0</v>
          </cell>
          <cell r="AP347">
            <v>0</v>
          </cell>
          <cell r="AQ347">
            <v>0</v>
          </cell>
          <cell r="AR347">
            <v>0</v>
          </cell>
          <cell r="AS347">
            <v>81380</v>
          </cell>
          <cell r="AT347">
            <v>0</v>
          </cell>
          <cell r="AU347">
            <v>0</v>
          </cell>
        </row>
        <row r="348">
          <cell r="A348" t="str">
            <v>6.2.3</v>
          </cell>
          <cell r="AO348">
            <v>0</v>
          </cell>
          <cell r="AP348">
            <v>200296.42641764844</v>
          </cell>
          <cell r="AQ348">
            <v>0</v>
          </cell>
          <cell r="AR348">
            <v>0</v>
          </cell>
          <cell r="AS348">
            <v>0</v>
          </cell>
          <cell r="AT348">
            <v>0</v>
          </cell>
          <cell r="AU348">
            <v>0</v>
          </cell>
        </row>
        <row r="349">
          <cell r="A349" t="str">
            <v>6.2.32</v>
          </cell>
          <cell r="AO349">
            <v>0</v>
          </cell>
          <cell r="AP349">
            <v>0</v>
          </cell>
          <cell r="AQ349">
            <v>0</v>
          </cell>
          <cell r="AR349">
            <v>0</v>
          </cell>
          <cell r="AS349">
            <v>81380</v>
          </cell>
          <cell r="AT349">
            <v>0</v>
          </cell>
          <cell r="AU349">
            <v>0</v>
          </cell>
        </row>
        <row r="350">
          <cell r="A350" t="str">
            <v>6.2.40</v>
          </cell>
          <cell r="AO350">
            <v>0</v>
          </cell>
          <cell r="AP350">
            <v>160529.6505968491</v>
          </cell>
          <cell r="AQ350">
            <v>0</v>
          </cell>
          <cell r="AR350">
            <v>0</v>
          </cell>
          <cell r="AS350">
            <v>0</v>
          </cell>
          <cell r="AT350">
            <v>0</v>
          </cell>
          <cell r="AU350">
            <v>0</v>
          </cell>
        </row>
        <row r="351">
          <cell r="A351" t="str">
            <v>6.2.5</v>
          </cell>
          <cell r="AO351">
            <v>0</v>
          </cell>
          <cell r="AP351">
            <v>152173.38866346181</v>
          </cell>
          <cell r="AQ351">
            <v>0</v>
          </cell>
          <cell r="AR351">
            <v>0</v>
          </cell>
          <cell r="AS351">
            <v>0</v>
          </cell>
          <cell r="AT351">
            <v>0</v>
          </cell>
          <cell r="AU351">
            <v>0</v>
          </cell>
        </row>
        <row r="352">
          <cell r="A352" t="str">
            <v>6.2.7</v>
          </cell>
          <cell r="AO352">
            <v>0</v>
          </cell>
          <cell r="AP352">
            <v>177535.62010737212</v>
          </cell>
          <cell r="AQ352">
            <v>0</v>
          </cell>
          <cell r="AR352">
            <v>0</v>
          </cell>
          <cell r="AS352">
            <v>0</v>
          </cell>
          <cell r="AT352">
            <v>0</v>
          </cell>
          <cell r="AU352">
            <v>0</v>
          </cell>
        </row>
        <row r="353">
          <cell r="A353" t="str">
            <v>6.2.8</v>
          </cell>
          <cell r="AO353">
            <v>0</v>
          </cell>
          <cell r="AP353">
            <v>134377.35606745727</v>
          </cell>
          <cell r="AQ353">
            <v>0</v>
          </cell>
          <cell r="AR353">
            <v>0</v>
          </cell>
          <cell r="AS353">
            <v>0</v>
          </cell>
          <cell r="AT353">
            <v>0</v>
          </cell>
          <cell r="AU353">
            <v>0</v>
          </cell>
        </row>
        <row r="354">
          <cell r="A354" t="str">
            <v>6.2.9</v>
          </cell>
          <cell r="AO354">
            <v>0</v>
          </cell>
          <cell r="AP354">
            <v>0</v>
          </cell>
          <cell r="AQ354">
            <v>0</v>
          </cell>
          <cell r="AR354">
            <v>0</v>
          </cell>
          <cell r="AS354">
            <v>0</v>
          </cell>
          <cell r="AT354">
            <v>0</v>
          </cell>
          <cell r="AU354">
            <v>0</v>
          </cell>
        </row>
        <row r="355">
          <cell r="A355" t="str">
            <v>6.2.51</v>
          </cell>
          <cell r="AO355">
            <v>0</v>
          </cell>
          <cell r="AP355">
            <v>0</v>
          </cell>
          <cell r="AQ355">
            <v>0</v>
          </cell>
          <cell r="AR355">
            <v>116952.76557928981</v>
          </cell>
          <cell r="AS355">
            <v>0</v>
          </cell>
          <cell r="AT355">
            <v>0</v>
          </cell>
          <cell r="AU355">
            <v>0</v>
          </cell>
        </row>
        <row r="356">
          <cell r="A356">
            <v>0</v>
          </cell>
          <cell r="AO356">
            <v>0</v>
          </cell>
          <cell r="AP356">
            <v>824912.44185278867</v>
          </cell>
          <cell r="AQ356">
            <v>0</v>
          </cell>
          <cell r="AR356">
            <v>116952.76557928981</v>
          </cell>
          <cell r="AS356">
            <v>330402.79999999993</v>
          </cell>
          <cell r="AT356">
            <v>0</v>
          </cell>
          <cell r="AU356">
            <v>0</v>
          </cell>
        </row>
        <row r="357">
          <cell r="A357" t="str">
            <v>6.2.10</v>
          </cell>
          <cell r="AO357">
            <v>0</v>
          </cell>
          <cell r="AP357">
            <v>0</v>
          </cell>
          <cell r="AQ357">
            <v>0</v>
          </cell>
          <cell r="AR357">
            <v>0</v>
          </cell>
          <cell r="AS357">
            <v>0</v>
          </cell>
          <cell r="AT357">
            <v>0</v>
          </cell>
          <cell r="AU357">
            <v>0</v>
          </cell>
        </row>
        <row r="358">
          <cell r="A358" t="str">
            <v>6.2.11</v>
          </cell>
          <cell r="AO358">
            <v>0</v>
          </cell>
          <cell r="AP358">
            <v>0</v>
          </cell>
          <cell r="AQ358">
            <v>0</v>
          </cell>
          <cell r="AR358">
            <v>0</v>
          </cell>
          <cell r="AS358">
            <v>0</v>
          </cell>
          <cell r="AT358">
            <v>0</v>
          </cell>
          <cell r="AU358">
            <v>0</v>
          </cell>
        </row>
        <row r="359">
          <cell r="A359" t="str">
            <v>6.2.16</v>
          </cell>
          <cell r="AO359">
            <v>0</v>
          </cell>
          <cell r="AP359">
            <v>0</v>
          </cell>
          <cell r="AQ359">
            <v>134258.19009051655</v>
          </cell>
          <cell r="AR359">
            <v>0</v>
          </cell>
          <cell r="AS359">
            <v>0</v>
          </cell>
          <cell r="AT359">
            <v>0</v>
          </cell>
          <cell r="AU359">
            <v>0</v>
          </cell>
        </row>
        <row r="360">
          <cell r="A360" t="str">
            <v>6.2.28</v>
          </cell>
          <cell r="AO360">
            <v>0</v>
          </cell>
          <cell r="AP360">
            <v>0</v>
          </cell>
          <cell r="AQ360">
            <v>0</v>
          </cell>
          <cell r="AR360">
            <v>0</v>
          </cell>
          <cell r="AS360">
            <v>191039.55</v>
          </cell>
          <cell r="AT360">
            <v>0</v>
          </cell>
          <cell r="AU360">
            <v>0</v>
          </cell>
        </row>
        <row r="361">
          <cell r="A361" t="str">
            <v>6.2.30</v>
          </cell>
          <cell r="AO361">
            <v>0</v>
          </cell>
          <cell r="AP361">
            <v>0</v>
          </cell>
          <cell r="AQ361">
            <v>0</v>
          </cell>
          <cell r="AR361">
            <v>0</v>
          </cell>
          <cell r="AS361">
            <v>130208</v>
          </cell>
          <cell r="AT361">
            <v>0</v>
          </cell>
          <cell r="AU361">
            <v>0</v>
          </cell>
        </row>
        <row r="362">
          <cell r="A362" t="str">
            <v>6.2.31</v>
          </cell>
          <cell r="AO362">
            <v>0</v>
          </cell>
          <cell r="AP362">
            <v>0</v>
          </cell>
          <cell r="AQ362">
            <v>0</v>
          </cell>
          <cell r="AR362">
            <v>0</v>
          </cell>
          <cell r="AS362">
            <v>0</v>
          </cell>
          <cell r="AT362">
            <v>0</v>
          </cell>
          <cell r="AU362">
            <v>0</v>
          </cell>
        </row>
        <row r="363">
          <cell r="A363" t="str">
            <v>6.2.34</v>
          </cell>
          <cell r="AO363">
            <v>0</v>
          </cell>
          <cell r="AP363">
            <v>0</v>
          </cell>
          <cell r="AQ363">
            <v>0</v>
          </cell>
          <cell r="AR363">
            <v>0</v>
          </cell>
          <cell r="AS363">
            <v>48828</v>
          </cell>
          <cell r="AT363">
            <v>0</v>
          </cell>
          <cell r="AU363">
            <v>0</v>
          </cell>
        </row>
        <row r="364">
          <cell r="A364" t="str">
            <v>6.2.39</v>
          </cell>
          <cell r="AO364">
            <v>0</v>
          </cell>
          <cell r="AP364">
            <v>131883.60350833356</v>
          </cell>
          <cell r="AQ364">
            <v>0</v>
          </cell>
          <cell r="AR364">
            <v>0</v>
          </cell>
          <cell r="AS364">
            <v>0</v>
          </cell>
          <cell r="AT364">
            <v>0</v>
          </cell>
          <cell r="AU364">
            <v>0</v>
          </cell>
        </row>
        <row r="365">
          <cell r="A365" t="str">
            <v>6.2.4</v>
          </cell>
          <cell r="AO365">
            <v>0</v>
          </cell>
          <cell r="AP365">
            <v>94015.237637917773</v>
          </cell>
          <cell r="AQ365">
            <v>0</v>
          </cell>
          <cell r="AR365">
            <v>0</v>
          </cell>
          <cell r="AS365">
            <v>0</v>
          </cell>
          <cell r="AT365">
            <v>0</v>
          </cell>
          <cell r="AU365">
            <v>0</v>
          </cell>
        </row>
        <row r="366">
          <cell r="A366" t="str">
            <v>6.2.44</v>
          </cell>
          <cell r="AO366">
            <v>0</v>
          </cell>
          <cell r="AP366">
            <v>155584.51828510113</v>
          </cell>
          <cell r="AQ366">
            <v>0</v>
          </cell>
          <cell r="AR366">
            <v>0</v>
          </cell>
          <cell r="AS366">
            <v>0</v>
          </cell>
          <cell r="AT366">
            <v>0</v>
          </cell>
          <cell r="AU366">
            <v>0</v>
          </cell>
        </row>
        <row r="367">
          <cell r="A367" t="str">
            <v>6.2.52</v>
          </cell>
          <cell r="AO367">
            <v>0</v>
          </cell>
          <cell r="AP367">
            <v>0</v>
          </cell>
          <cell r="AQ367">
            <v>0</v>
          </cell>
          <cell r="AR367">
            <v>98802.355405840339</v>
          </cell>
          <cell r="AS367">
            <v>0</v>
          </cell>
          <cell r="AT367">
            <v>0</v>
          </cell>
          <cell r="AU367">
            <v>0</v>
          </cell>
        </row>
        <row r="368">
          <cell r="A368" t="str">
            <v>6.2.37</v>
          </cell>
          <cell r="AO368">
            <v>0</v>
          </cell>
          <cell r="AP368">
            <v>0</v>
          </cell>
          <cell r="AQ368">
            <v>0</v>
          </cell>
          <cell r="AR368">
            <v>0</v>
          </cell>
          <cell r="AS368">
            <v>0</v>
          </cell>
          <cell r="AT368">
            <v>0</v>
          </cell>
          <cell r="AU368">
            <v>0</v>
          </cell>
        </row>
        <row r="369">
          <cell r="A369" t="str">
            <v>6.2.59</v>
          </cell>
          <cell r="AO369">
            <v>0</v>
          </cell>
          <cell r="AP369">
            <v>0</v>
          </cell>
          <cell r="AQ369">
            <v>0</v>
          </cell>
          <cell r="AR369">
            <v>177221.50593511446</v>
          </cell>
          <cell r="AS369">
            <v>0</v>
          </cell>
          <cell r="AT369">
            <v>0</v>
          </cell>
          <cell r="AU369">
            <v>0</v>
          </cell>
        </row>
        <row r="370">
          <cell r="A370" t="str">
            <v>6.2.64</v>
          </cell>
          <cell r="AO370">
            <v>0</v>
          </cell>
          <cell r="AP370">
            <v>0</v>
          </cell>
          <cell r="AQ370">
            <v>0</v>
          </cell>
          <cell r="AR370">
            <v>0</v>
          </cell>
          <cell r="AS370">
            <v>0</v>
          </cell>
          <cell r="AT370">
            <v>0</v>
          </cell>
          <cell r="AU370">
            <v>22227.03373571243</v>
          </cell>
        </row>
        <row r="371">
          <cell r="A371" t="str">
            <v>6.2.68</v>
          </cell>
          <cell r="AO371">
            <v>0</v>
          </cell>
          <cell r="AP371">
            <v>0</v>
          </cell>
          <cell r="AQ371">
            <v>0</v>
          </cell>
          <cell r="AR371">
            <v>0</v>
          </cell>
          <cell r="AS371">
            <v>0</v>
          </cell>
          <cell r="AT371">
            <v>50229.289361542855</v>
          </cell>
          <cell r="AU371">
            <v>0</v>
          </cell>
        </row>
        <row r="372">
          <cell r="A372">
            <v>0</v>
          </cell>
          <cell r="AO372">
            <v>0</v>
          </cell>
          <cell r="AP372">
            <v>381483.35943135247</v>
          </cell>
          <cell r="AQ372">
            <v>134258.19009051655</v>
          </cell>
          <cell r="AR372">
            <v>276023.86134095478</v>
          </cell>
          <cell r="AS372">
            <v>370075.55</v>
          </cell>
          <cell r="AT372">
            <v>50229.289361542855</v>
          </cell>
          <cell r="AU372">
            <v>22227.03373571243</v>
          </cell>
        </row>
        <row r="375">
          <cell r="A375">
            <v>0</v>
          </cell>
          <cell r="AO375">
            <v>0</v>
          </cell>
          <cell r="AP375">
            <v>0</v>
          </cell>
          <cell r="AQ375">
            <v>0</v>
          </cell>
          <cell r="AR375">
            <v>0</v>
          </cell>
          <cell r="AS375">
            <v>0</v>
          </cell>
          <cell r="AT375">
            <v>0</v>
          </cell>
          <cell r="AU375">
            <v>0</v>
          </cell>
        </row>
        <row r="376">
          <cell r="A376" t="str">
            <v>6.3.9</v>
          </cell>
          <cell r="AO376">
            <v>0</v>
          </cell>
          <cell r="AP376">
            <v>0</v>
          </cell>
          <cell r="AQ376">
            <v>0</v>
          </cell>
          <cell r="AR376">
            <v>0</v>
          </cell>
          <cell r="AS376">
            <v>0</v>
          </cell>
          <cell r="AT376">
            <v>0</v>
          </cell>
          <cell r="AU376">
            <v>0</v>
          </cell>
        </row>
        <row r="377">
          <cell r="AO377">
            <v>0</v>
          </cell>
          <cell r="AP377">
            <v>0</v>
          </cell>
          <cell r="AQ377">
            <v>0</v>
          </cell>
          <cell r="AR377">
            <v>0</v>
          </cell>
          <cell r="AS377">
            <v>0</v>
          </cell>
          <cell r="AT377">
            <v>0</v>
          </cell>
          <cell r="AU377">
            <v>0</v>
          </cell>
        </row>
        <row r="378">
          <cell r="A378" t="str">
            <v>6.3.4</v>
          </cell>
          <cell r="AO378">
            <v>279798.09525521693</v>
          </cell>
          <cell r="AP378">
            <v>0</v>
          </cell>
          <cell r="AQ378">
            <v>0</v>
          </cell>
          <cell r="AR378">
            <v>0</v>
          </cell>
          <cell r="AS378">
            <v>0</v>
          </cell>
          <cell r="AT378">
            <v>0</v>
          </cell>
          <cell r="AU378">
            <v>0</v>
          </cell>
        </row>
        <row r="379">
          <cell r="A379" t="str">
            <v>6.3.5</v>
          </cell>
          <cell r="AO379">
            <v>45572.648800000003</v>
          </cell>
          <cell r="AP379">
            <v>0</v>
          </cell>
          <cell r="AQ379">
            <v>0</v>
          </cell>
          <cell r="AR379">
            <v>0</v>
          </cell>
          <cell r="AS379">
            <v>29335.919999999995</v>
          </cell>
          <cell r="AT379">
            <v>0</v>
          </cell>
          <cell r="AU379">
            <v>0</v>
          </cell>
        </row>
        <row r="380">
          <cell r="AO380">
            <v>325370.74405521696</v>
          </cell>
          <cell r="AP380">
            <v>0</v>
          </cell>
          <cell r="AQ380">
            <v>0</v>
          </cell>
          <cell r="AR380">
            <v>0</v>
          </cell>
          <cell r="AS380">
            <v>29335.919999999995</v>
          </cell>
          <cell r="AT380">
            <v>0</v>
          </cell>
          <cell r="AU380">
            <v>0</v>
          </cell>
        </row>
        <row r="381">
          <cell r="A381" t="str">
            <v>6.3.6</v>
          </cell>
          <cell r="AO381">
            <v>123288.13595781481</v>
          </cell>
          <cell r="AP381">
            <v>0</v>
          </cell>
          <cell r="AQ381">
            <v>0</v>
          </cell>
          <cell r="AR381">
            <v>0</v>
          </cell>
          <cell r="AS381">
            <v>0</v>
          </cell>
          <cell r="AT381">
            <v>0</v>
          </cell>
          <cell r="AU381">
            <v>0</v>
          </cell>
        </row>
        <row r="382">
          <cell r="A382" t="str">
            <v>6.3.7</v>
          </cell>
          <cell r="AO382">
            <v>72063.546482269041</v>
          </cell>
          <cell r="AP382">
            <v>0</v>
          </cell>
          <cell r="AQ382">
            <v>0</v>
          </cell>
          <cell r="AR382">
            <v>0</v>
          </cell>
          <cell r="AS382">
            <v>0</v>
          </cell>
          <cell r="AT382">
            <v>0</v>
          </cell>
          <cell r="AU382">
            <v>0</v>
          </cell>
        </row>
        <row r="383">
          <cell r="A383" t="str">
            <v>6.3.8</v>
          </cell>
          <cell r="AO383">
            <v>70435.951882269044</v>
          </cell>
          <cell r="AP383">
            <v>0</v>
          </cell>
          <cell r="AQ383">
            <v>0</v>
          </cell>
          <cell r="AR383">
            <v>0</v>
          </cell>
          <cell r="AS383">
            <v>0</v>
          </cell>
          <cell r="AT383">
            <v>0</v>
          </cell>
          <cell r="AU383">
            <v>0</v>
          </cell>
        </row>
        <row r="384">
          <cell r="A384" t="str">
            <v>6.3.15</v>
          </cell>
          <cell r="AO384">
            <v>0</v>
          </cell>
          <cell r="AP384">
            <v>0</v>
          </cell>
          <cell r="AQ384">
            <v>0</v>
          </cell>
          <cell r="AR384">
            <v>0</v>
          </cell>
          <cell r="AS384">
            <v>0</v>
          </cell>
          <cell r="AT384">
            <v>0</v>
          </cell>
          <cell r="AU384">
            <v>0</v>
          </cell>
        </row>
        <row r="385">
          <cell r="A385">
            <v>0</v>
          </cell>
          <cell r="AO385">
            <v>265787.63432235288</v>
          </cell>
          <cell r="AP385">
            <v>0</v>
          </cell>
          <cell r="AQ385">
            <v>0</v>
          </cell>
          <cell r="AR385">
            <v>0</v>
          </cell>
          <cell r="AS385">
            <v>0</v>
          </cell>
          <cell r="AT385">
            <v>0</v>
          </cell>
          <cell r="AU385">
            <v>0</v>
          </cell>
        </row>
        <row r="386">
          <cell r="A386" t="str">
            <v>6.3.1</v>
          </cell>
          <cell r="AO386">
            <v>0</v>
          </cell>
          <cell r="AP386">
            <v>115664.50517976814</v>
          </cell>
          <cell r="AQ386">
            <v>128657.74330234114</v>
          </cell>
          <cell r="AR386">
            <v>0</v>
          </cell>
          <cell r="AS386">
            <v>90777.547556799982</v>
          </cell>
          <cell r="AT386">
            <v>0</v>
          </cell>
          <cell r="AU386">
            <v>0</v>
          </cell>
        </row>
        <row r="387">
          <cell r="A387" t="str">
            <v>6.3.2</v>
          </cell>
          <cell r="AO387">
            <v>0</v>
          </cell>
          <cell r="AP387">
            <v>67883.098494028978</v>
          </cell>
          <cell r="AQ387">
            <v>0</v>
          </cell>
          <cell r="AR387">
            <v>0</v>
          </cell>
          <cell r="AS387">
            <v>0</v>
          </cell>
          <cell r="AT387">
            <v>0</v>
          </cell>
          <cell r="AU387">
            <v>0</v>
          </cell>
        </row>
        <row r="388">
          <cell r="A388" t="str">
            <v>6.3.3</v>
          </cell>
          <cell r="AO388">
            <v>390657.16561904096</v>
          </cell>
          <cell r="AP388">
            <v>0</v>
          </cell>
          <cell r="AQ388">
            <v>0</v>
          </cell>
          <cell r="AR388">
            <v>0</v>
          </cell>
          <cell r="AS388">
            <v>0</v>
          </cell>
          <cell r="AT388">
            <v>0</v>
          </cell>
          <cell r="AU388">
            <v>0</v>
          </cell>
        </row>
        <row r="389">
          <cell r="AO389">
            <v>390657.16561904096</v>
          </cell>
          <cell r="AP389">
            <v>183547.6036737971</v>
          </cell>
          <cell r="AQ389">
            <v>128657.74330234114</v>
          </cell>
          <cell r="AR389">
            <v>0</v>
          </cell>
          <cell r="AS389">
            <v>90777.547556799982</v>
          </cell>
          <cell r="AT389">
            <v>0</v>
          </cell>
          <cell r="AU389">
            <v>0</v>
          </cell>
        </row>
        <row r="390">
          <cell r="A390" t="str">
            <v>6.3.12</v>
          </cell>
          <cell r="AO390">
            <v>0</v>
          </cell>
          <cell r="AP390">
            <v>0</v>
          </cell>
          <cell r="AQ390">
            <v>0</v>
          </cell>
          <cell r="AR390">
            <v>0</v>
          </cell>
          <cell r="AS390">
            <v>0</v>
          </cell>
          <cell r="AT390">
            <v>0</v>
          </cell>
          <cell r="AU390">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
          <cell r="A9" t="str">
            <v>AAI  Budget lines</v>
          </cell>
        </row>
      </sheetData>
      <sheetData sheetId="18"/>
      <sheetData sheetId="19"/>
      <sheetData sheetId="2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arameter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line"/>
      <sheetName val="SAMPLE"/>
      <sheetName val="Inventory"/>
      <sheetName val="DATA"/>
    </sheetNames>
    <sheetDataSet>
      <sheetData sheetId="0" refreshError="1"/>
      <sheetData sheetId="1" refreshError="1"/>
      <sheetData sheetId="2" refreshError="1"/>
      <sheetData sheetId="3">
        <row r="5">
          <cell r="B5" t="str">
            <v>Office equipment</v>
          </cell>
        </row>
        <row r="6">
          <cell r="B6" t="str">
            <v>Medical &amp; Laboratory</v>
          </cell>
        </row>
        <row r="7">
          <cell r="B7" t="str">
            <v>Energy</v>
          </cell>
        </row>
        <row r="8">
          <cell r="B8" t="str">
            <v>Transport</v>
          </cell>
        </row>
        <row r="9">
          <cell r="B9" t="str">
            <v>Communication</v>
          </cell>
        </row>
        <row r="10">
          <cell r="B10" t="str">
            <v>Watsan</v>
          </cell>
        </row>
        <row r="11">
          <cell r="B11" t="str">
            <v>Cold chain</v>
          </cell>
        </row>
        <row r="12">
          <cell r="B12" t="str">
            <v>Furniture</v>
          </cell>
        </row>
        <row r="13">
          <cell r="B13" t="str">
            <v>Others</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ary Grid"/>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nvoi"/>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1"/>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RACED summary budget"/>
      <sheetName val="TREEAID BUDGET"/>
      <sheetName val="Partner 2 budget sheet"/>
      <sheetName val="Partner 3 budget sheet"/>
      <sheetName val="Partner 4 budget sheet"/>
      <sheetName val="Sheet1"/>
      <sheetName val="TA IDEES DUBARA"/>
      <sheetName val="TA MOORIBEEN"/>
      <sheetName val="BRACED budget summary"/>
      <sheetName val="CARE Niger"/>
      <sheetName val="CARE UK budget sheet"/>
      <sheetName val="TREE AID"/>
      <sheetName val=" IDEE DUBARA"/>
      <sheetName val=" MORIBEEN"/>
      <sheetName val="AREN"/>
      <sheetName val="Sheet2"/>
      <sheetName val="M&amp;E CARE N"/>
      <sheetName val="Data drop list"/>
    </sheetNames>
    <sheetDataSet>
      <sheetData sheetId="0" refreshError="1"/>
      <sheetData sheetId="1">
        <row r="9">
          <cell r="D9">
            <v>778.7</v>
          </cell>
        </row>
      </sheetData>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ètres"/>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4"/>
      <sheetName val="Sheet5"/>
      <sheetName val="Summary"/>
      <sheetName val="Detailed workings"/>
      <sheetName val="Confirmed Salaries Projects"/>
      <sheetName val="SIDA Project Provisions"/>
      <sheetName val="Board Expense Budget"/>
      <sheetName val="Workings"/>
    </sheetNames>
    <sheetDataSet>
      <sheetData sheetId="0"/>
      <sheetData sheetId="1"/>
      <sheetData sheetId="2"/>
      <sheetData sheetId="3"/>
      <sheetData sheetId="4"/>
      <sheetData sheetId="5">
        <row r="7">
          <cell r="T7">
            <v>0</v>
          </cell>
        </row>
        <row r="9">
          <cell r="T9">
            <v>3320.3998232825265</v>
          </cell>
        </row>
        <row r="12">
          <cell r="T12">
            <v>0</v>
          </cell>
        </row>
        <row r="13">
          <cell r="T13">
            <v>0</v>
          </cell>
        </row>
        <row r="14">
          <cell r="T14">
            <v>26584.552485877615</v>
          </cell>
        </row>
        <row r="15">
          <cell r="T15">
            <v>25836.219885613726</v>
          </cell>
        </row>
        <row r="16">
          <cell r="T16">
            <v>24614.79</v>
          </cell>
        </row>
        <row r="19">
          <cell r="T19">
            <v>0</v>
          </cell>
        </row>
        <row r="22">
          <cell r="T22">
            <v>0</v>
          </cell>
        </row>
        <row r="23">
          <cell r="T23">
            <v>0</v>
          </cell>
        </row>
        <row r="24">
          <cell r="T24">
            <v>21269.244068</v>
          </cell>
        </row>
        <row r="25">
          <cell r="T25">
            <v>0</v>
          </cell>
        </row>
        <row r="26">
          <cell r="T26">
            <v>13234</v>
          </cell>
        </row>
        <row r="27">
          <cell r="T27">
            <v>17562.956666666669</v>
          </cell>
        </row>
        <row r="32">
          <cell r="T32">
            <v>0</v>
          </cell>
        </row>
        <row r="33">
          <cell r="T33">
            <v>0</v>
          </cell>
        </row>
        <row r="36">
          <cell r="T36">
            <v>14387.555399999999</v>
          </cell>
        </row>
        <row r="37">
          <cell r="T37">
            <v>0</v>
          </cell>
        </row>
        <row r="41">
          <cell r="T41">
            <v>0</v>
          </cell>
        </row>
        <row r="44">
          <cell r="T44">
            <v>0</v>
          </cell>
        </row>
      </sheetData>
      <sheetData sheetId="6"/>
      <sheetData sheetId="7"/>
      <sheetData sheetId="8">
        <row r="4">
          <cell r="J4">
            <v>0</v>
          </cell>
          <cell r="Y4">
            <v>0</v>
          </cell>
        </row>
        <row r="5">
          <cell r="J5">
            <v>0</v>
          </cell>
          <cell r="Y5">
            <v>0</v>
          </cell>
        </row>
        <row r="6">
          <cell r="J6">
            <v>9311.8544999999995</v>
          </cell>
          <cell r="Y6">
            <v>10153.03995</v>
          </cell>
        </row>
        <row r="7">
          <cell r="J7">
            <v>6975.8774999999996</v>
          </cell>
          <cell r="Y7">
            <v>7583.4652500000011</v>
          </cell>
        </row>
        <row r="8">
          <cell r="J8">
            <v>6417.75</v>
          </cell>
          <cell r="Y8">
            <v>6969.5249999999996</v>
          </cell>
        </row>
        <row r="9">
          <cell r="J9">
            <v>6121.86</v>
          </cell>
          <cell r="Y9">
            <v>6644.0460000000003</v>
          </cell>
        </row>
        <row r="10">
          <cell r="J10">
            <v>6121.86</v>
          </cell>
          <cell r="Y10">
            <v>6644.0460000000003</v>
          </cell>
        </row>
        <row r="11">
          <cell r="J11">
            <v>5357.6763000000001</v>
          </cell>
          <cell r="Y11">
            <v>5803.4439300000004</v>
          </cell>
        </row>
        <row r="12">
          <cell r="J12">
            <v>5069.55</v>
          </cell>
          <cell r="Y12">
            <v>5486.5050000000001</v>
          </cell>
        </row>
        <row r="13">
          <cell r="J13">
            <v>5069.55</v>
          </cell>
          <cell r="Y13">
            <v>5486.5050000000001</v>
          </cell>
        </row>
        <row r="14">
          <cell r="J14">
            <v>5069.55</v>
          </cell>
          <cell r="Y14">
            <v>5486.5050000000001</v>
          </cell>
        </row>
        <row r="15">
          <cell r="J15">
            <v>4807.8900000000003</v>
          </cell>
          <cell r="Y15">
            <v>5198.6790000000001</v>
          </cell>
        </row>
        <row r="16">
          <cell r="J16">
            <v>4785.84</v>
          </cell>
          <cell r="Y16">
            <v>5174.4240000000009</v>
          </cell>
        </row>
        <row r="17">
          <cell r="J17">
            <v>4281</v>
          </cell>
          <cell r="Y17">
            <v>4619.1000000000004</v>
          </cell>
        </row>
        <row r="18">
          <cell r="J18">
            <v>4259.369999999999</v>
          </cell>
          <cell r="Y18">
            <v>4595.3070000000007</v>
          </cell>
        </row>
        <row r="19">
          <cell r="J19">
            <v>4082.13</v>
          </cell>
          <cell r="Y19">
            <v>4400.3430000000008</v>
          </cell>
        </row>
        <row r="20">
          <cell r="J20">
            <v>4082.13</v>
          </cell>
          <cell r="Y20">
            <v>4400.3430000000008</v>
          </cell>
        </row>
        <row r="21">
          <cell r="J21">
            <v>4082.13</v>
          </cell>
          <cell r="Y21">
            <v>4400.3430000000008</v>
          </cell>
        </row>
        <row r="22">
          <cell r="J22">
            <v>4074.7799999999997</v>
          </cell>
          <cell r="Y22">
            <v>4392.2580000000007</v>
          </cell>
        </row>
        <row r="23">
          <cell r="J23">
            <v>3818.79</v>
          </cell>
          <cell r="Y23">
            <v>4110.6689999999999</v>
          </cell>
        </row>
        <row r="24">
          <cell r="J24">
            <v>3818.0970000000002</v>
          </cell>
          <cell r="Y24">
            <v>4109.9066999999995</v>
          </cell>
        </row>
        <row r="25">
          <cell r="J25">
            <v>3818.0970000000002</v>
          </cell>
          <cell r="Y25">
            <v>4109.9066999999995</v>
          </cell>
        </row>
        <row r="26">
          <cell r="J26">
            <v>3686.07</v>
          </cell>
          <cell r="Y26">
            <v>3964.6769999999997</v>
          </cell>
        </row>
        <row r="27">
          <cell r="J27">
            <v>3679.1400000000003</v>
          </cell>
          <cell r="Y27">
            <v>3957.0540000000005</v>
          </cell>
        </row>
        <row r="28">
          <cell r="J28">
            <v>3679.1400000000003</v>
          </cell>
          <cell r="Y28">
            <v>3957.0540000000005</v>
          </cell>
        </row>
        <row r="29">
          <cell r="J29">
            <v>3615.09</v>
          </cell>
          <cell r="Y29">
            <v>3886.5990000000006</v>
          </cell>
        </row>
        <row r="30">
          <cell r="J30">
            <v>3606.0389999999998</v>
          </cell>
          <cell r="Y30">
            <v>3876.6429000000007</v>
          </cell>
        </row>
        <row r="31">
          <cell r="J31">
            <v>3423.4229999999998</v>
          </cell>
          <cell r="Y31">
            <v>3675.7653</v>
          </cell>
        </row>
        <row r="32">
          <cell r="J32">
            <v>3420.63</v>
          </cell>
          <cell r="Y32">
            <v>3672.6930000000002</v>
          </cell>
        </row>
        <row r="33">
          <cell r="J33">
            <v>3420.63</v>
          </cell>
          <cell r="Y33">
            <v>3672.6930000000002</v>
          </cell>
        </row>
        <row r="34">
          <cell r="J34">
            <v>3420.63</v>
          </cell>
          <cell r="Y34">
            <v>3672.6930000000002</v>
          </cell>
        </row>
        <row r="35">
          <cell r="J35">
            <v>3420.63</v>
          </cell>
          <cell r="Y35">
            <v>3672.6930000000002</v>
          </cell>
        </row>
        <row r="36">
          <cell r="J36">
            <v>3240.8154</v>
          </cell>
          <cell r="Y36">
            <v>3474.8969400000001</v>
          </cell>
        </row>
        <row r="37">
          <cell r="J37">
            <v>3013.7129999999997</v>
          </cell>
          <cell r="Y37">
            <v>3225.0843</v>
          </cell>
        </row>
        <row r="38">
          <cell r="J38">
            <v>2801.34</v>
          </cell>
          <cell r="Y38">
            <v>2991.4740000000002</v>
          </cell>
        </row>
        <row r="39">
          <cell r="J39">
            <v>2375.04</v>
          </cell>
          <cell r="Y39">
            <v>2522.5440000000003</v>
          </cell>
        </row>
        <row r="40">
          <cell r="J40">
            <v>2370</v>
          </cell>
          <cell r="Y40">
            <v>2517</v>
          </cell>
        </row>
        <row r="41">
          <cell r="J41">
            <v>2307</v>
          </cell>
          <cell r="Y41">
            <v>2447.6999999999998</v>
          </cell>
        </row>
        <row r="42">
          <cell r="J42">
            <v>2301.12</v>
          </cell>
          <cell r="Y42">
            <v>2441.232</v>
          </cell>
        </row>
        <row r="43">
          <cell r="J43">
            <v>2301.12</v>
          </cell>
          <cell r="Y43">
            <v>2441.232</v>
          </cell>
        </row>
        <row r="44">
          <cell r="J44">
            <v>2156.85</v>
          </cell>
          <cell r="Y44">
            <v>2282.5350000000003</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rants vs Capacity Budget"/>
      <sheetName val="BUDGET PERCENTAGE"/>
      <sheetName val="SUMMARY BUDGET"/>
      <sheetName val="example"/>
      <sheetName val="6"/>
      <sheetName val="calculations obj 1"/>
      <sheetName val="Sheet1"/>
      <sheetName val="2024-2027 Budget"/>
      <sheetName val="2024 DETAILED BUDGET"/>
      <sheetName val="Capacity buiding "/>
      <sheetName val="Sheet2"/>
      <sheetName val="Activities"/>
      <sheetName val="Employee Costs"/>
      <sheetName val="Recurring expenditure"/>
      <sheetName val="Result Frameworks Phase 2"/>
      <sheetName val="WORKPLAN"/>
      <sheetName val="Elections Budget (2)"/>
      <sheetName val="Elections Budg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68">
          <cell r="B68" t="str">
            <v xml:space="preserve">Objective 1: Enhancing Civic Participation, Accountability, and Inclusive Democracy by 2027 </v>
          </cell>
        </row>
        <row r="70">
          <cell r="B70" t="str">
            <v>1.1.2 Strengthening grassroots engagement</v>
          </cell>
        </row>
        <row r="71">
          <cell r="B71" t="str">
            <v>1.1.3 Advocacy for transparency and accountability</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rants vs Capacity Budget"/>
      <sheetName val="BUDGET PERCENTAGE"/>
      <sheetName val="SUMMARY BUDGET"/>
      <sheetName val="example"/>
      <sheetName val="6"/>
      <sheetName val="calculations obj 1"/>
      <sheetName val="Sheet1"/>
      <sheetName val="AAZ 2024-2028 Budget Analysis"/>
      <sheetName val="2024-2028 Budget"/>
      <sheetName val="2024 DETAILED BUDGET"/>
      <sheetName val="Activities"/>
      <sheetName val="CSP ACTIVITIES "/>
      <sheetName val="Capacity Buiding "/>
      <sheetName val="Employee Costs"/>
      <sheetName val="Recurring expenditure"/>
      <sheetName val="Elections Budget"/>
      <sheetName val="WORKPLAN"/>
      <sheetName val="Results Framework"/>
    </sheetNames>
    <sheetDataSet>
      <sheetData sheetId="0"/>
      <sheetData sheetId="1"/>
      <sheetData sheetId="2"/>
      <sheetData sheetId="3"/>
      <sheetData sheetId="4"/>
      <sheetData sheetId="5"/>
      <sheetData sheetId="6"/>
      <sheetData sheetId="7"/>
      <sheetData sheetId="8">
        <row r="87">
          <cell r="B87" t="str">
            <v>Objective 4: To build institutional capacity for AAZ and Civil Society Organizations (CSOs), fostering effective coordination for joint initiatives and increased collective impact by the year 2028.</v>
          </cell>
        </row>
        <row r="88">
          <cell r="B88" t="str">
            <v xml:space="preserve">A.4.1 Participate in National and International comemmorations and conferences </v>
          </cell>
        </row>
        <row r="89">
          <cell r="B89" t="str">
            <v>A.4.2. Participation in Internation Conferences such as the Africa Climate summit, Conference of Parties (COPs), Africa Mining Indabas etc</v>
          </cell>
        </row>
        <row r="90">
          <cell r="B90" t="str">
            <v xml:space="preserve">A.4.3. AAZ staff Capacity Buiding support </v>
          </cell>
        </row>
        <row r="91">
          <cell r="B91" t="str">
            <v xml:space="preserve">A.4.4. Social movement building training </v>
          </cell>
        </row>
        <row r="92">
          <cell r="B92" t="str">
            <v xml:space="preserve">A.4.5. Capacity building in Activism, Advocay and engagement strategies </v>
          </cell>
        </row>
        <row r="93">
          <cell r="B93" t="str">
            <v xml:space="preserve">A.4.6. Capacity buiding in climate justice </v>
          </cell>
        </row>
        <row r="94">
          <cell r="B94" t="str">
            <v>A.4.7. capacity buidlding in feminist approaches and power analysis</v>
          </cell>
        </row>
        <row r="95">
          <cell r="B95" t="str">
            <v xml:space="preserve">A.4.8. Resource mobilization and proposal writing training </v>
          </cell>
        </row>
        <row r="96">
          <cell r="B96" t="str">
            <v>A.4.9. Peer to peer learning through exchange visit among sub-grantees</v>
          </cell>
        </row>
        <row r="98">
          <cell r="B98" t="str">
            <v>A.4.11 Flexible, innovative and alternative funding support to CSOs and Social Movement Groups to address and promote civic and political participation, anti-corruption, accountability, health rights, environment and climate change governance at all levels.</v>
          </cell>
        </row>
        <row r="99">
          <cell r="B99" t="str">
            <v xml:space="preserve">A.4.12. Team Building </v>
          </cell>
        </row>
        <row r="100">
          <cell r="B100" t="str">
            <v>A4.13 Subgrantee mentorship support by AAZ capacity development officers (Hubs)</v>
          </cell>
        </row>
        <row r="101">
          <cell r="B101" t="str">
            <v>4.14. Fundamentals of Social Accountability Monitoring Training Training (PSAM)</v>
          </cell>
        </row>
        <row r="102">
          <cell r="B102" t="str">
            <v>4.15. Fundamentals of Social Accountability Monitoring Training Training (PSAM) in Country Training for CSOs</v>
          </cell>
        </row>
      </sheetData>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nts vs Capacity Budget"/>
      <sheetName val="BUDGET PERCENTAGE"/>
      <sheetName val="SUMMARY BUDGET"/>
      <sheetName val="DETAILED BUDGET"/>
      <sheetName val="Sheet1"/>
      <sheetName val="WORKPLAN"/>
      <sheetName val="RESULTS FRAMEWORK"/>
      <sheetName val="example"/>
      <sheetName val="6"/>
      <sheetName val="calculations obj 1"/>
      <sheetName val="COSTINGS"/>
    </sheetNames>
    <sheetDataSet>
      <sheetData sheetId="0" refreshError="1"/>
      <sheetData sheetId="1" refreshError="1"/>
      <sheetData sheetId="2" refreshError="1"/>
      <sheetData sheetId="3" refreshError="1">
        <row r="62">
          <cell r="B62" t="str">
            <v>1. To strengthen CSOs capacity to enhance citizens’ civic participation and state accountability for improved governance and public service delivery in Zambia.</v>
          </cell>
        </row>
        <row r="71">
          <cell r="B71" t="str">
            <v xml:space="preserve">2. To strengthen CSOs and citizen’s role in promoting transparency and accountability in public finance management and institutional governance systems. </v>
          </cell>
        </row>
      </sheetData>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Jul12_Jun15-original"/>
      <sheetName val="Detailed Assumptions"/>
      <sheetName val="revised budget"/>
      <sheetName val="Utilization AA"/>
      <sheetName val="salary"/>
      <sheetName val="activities"/>
      <sheetName val="office"/>
      <sheetName val="Sheet1"/>
      <sheetName val="Option 1"/>
    </sheetNames>
    <sheetDataSet>
      <sheetData sheetId="0"/>
      <sheetData sheetId="1"/>
      <sheetData sheetId="2"/>
      <sheetData sheetId="3">
        <row r="8">
          <cell r="G8" t="str">
            <v>WRAW01</v>
          </cell>
          <cell r="H8" t="str">
            <v>Month</v>
          </cell>
          <cell r="I8" t="e">
            <v>#REF!</v>
          </cell>
          <cell r="J8">
            <v>5250</v>
          </cell>
          <cell r="K8">
            <v>0.4</v>
          </cell>
          <cell r="L8" t="e">
            <v>#REF!</v>
          </cell>
          <cell r="M8">
            <v>31500</v>
          </cell>
          <cell r="N8">
            <v>3</v>
          </cell>
          <cell r="O8">
            <v>5250</v>
          </cell>
          <cell r="P8">
            <v>0.4</v>
          </cell>
          <cell r="Q8">
            <v>6300</v>
          </cell>
          <cell r="R8">
            <v>0.6</v>
          </cell>
          <cell r="S8">
            <v>0</v>
          </cell>
          <cell r="T8">
            <v>0</v>
          </cell>
          <cell r="U8">
            <v>0</v>
          </cell>
          <cell r="V8">
            <v>0</v>
          </cell>
          <cell r="W8">
            <v>0</v>
          </cell>
          <cell r="X8">
            <v>1250</v>
          </cell>
          <cell r="Y8">
            <v>1250</v>
          </cell>
          <cell r="Z8">
            <v>2100</v>
          </cell>
          <cell r="AA8">
            <v>3800</v>
          </cell>
          <cell r="AB8">
            <v>8400</v>
          </cell>
          <cell r="AC8">
            <v>1800</v>
          </cell>
          <cell r="AD8">
            <v>3500</v>
          </cell>
          <cell r="AE8">
            <v>2100</v>
          </cell>
          <cell r="AF8">
            <v>800</v>
          </cell>
          <cell r="AG8">
            <v>25000</v>
          </cell>
        </row>
        <row r="9">
          <cell r="G9">
            <v>0</v>
          </cell>
          <cell r="H9">
            <v>0</v>
          </cell>
          <cell r="I9">
            <v>0</v>
          </cell>
          <cell r="J9">
            <v>0</v>
          </cell>
          <cell r="K9">
            <v>0</v>
          </cell>
          <cell r="L9" t="e">
            <v>#REF!</v>
          </cell>
          <cell r="M9">
            <v>149220</v>
          </cell>
          <cell r="N9">
            <v>0</v>
          </cell>
          <cell r="O9">
            <v>0</v>
          </cell>
          <cell r="P9">
            <v>0</v>
          </cell>
          <cell r="Q9">
            <v>7476</v>
          </cell>
          <cell r="R9">
            <v>0</v>
          </cell>
          <cell r="S9">
            <v>0</v>
          </cell>
          <cell r="T9">
            <v>0</v>
          </cell>
          <cell r="U9">
            <v>0</v>
          </cell>
          <cell r="V9">
            <v>1750</v>
          </cell>
          <cell r="W9">
            <v>2517</v>
          </cell>
          <cell r="X9">
            <v>2315.02</v>
          </cell>
          <cell r="Y9">
            <v>2287.7399999999998</v>
          </cell>
          <cell r="Z9">
            <v>2450</v>
          </cell>
          <cell r="AA9">
            <v>3253</v>
          </cell>
          <cell r="AB9">
            <v>14572.76</v>
          </cell>
          <cell r="AC9">
            <v>2308</v>
          </cell>
          <cell r="AD9">
            <v>6997</v>
          </cell>
          <cell r="AE9">
            <v>3820.7799999999997</v>
          </cell>
          <cell r="AF9">
            <v>3937.2799999999997</v>
          </cell>
          <cell r="AG9">
            <v>46208.58</v>
          </cell>
        </row>
        <row r="10">
          <cell r="G10">
            <v>0</v>
          </cell>
          <cell r="H10">
            <v>0</v>
          </cell>
          <cell r="I10">
            <v>0</v>
          </cell>
          <cell r="J10">
            <v>0</v>
          </cell>
          <cell r="K10">
            <v>0</v>
          </cell>
          <cell r="L10" t="e">
            <v>#REF!</v>
          </cell>
          <cell r="M10">
            <v>123498</v>
          </cell>
          <cell r="N10">
            <v>0</v>
          </cell>
          <cell r="O10">
            <v>0</v>
          </cell>
          <cell r="P10">
            <v>0</v>
          </cell>
          <cell r="Q10">
            <v>5484</v>
          </cell>
          <cell r="R10">
            <v>0</v>
          </cell>
          <cell r="S10">
            <v>0</v>
          </cell>
          <cell r="T10">
            <v>0</v>
          </cell>
          <cell r="U10">
            <v>0</v>
          </cell>
          <cell r="V10">
            <v>1100</v>
          </cell>
          <cell r="W10">
            <v>1867</v>
          </cell>
          <cell r="X10">
            <v>1665.02</v>
          </cell>
          <cell r="Y10">
            <v>1600</v>
          </cell>
          <cell r="Z10">
            <v>1800</v>
          </cell>
          <cell r="AA10">
            <v>2603</v>
          </cell>
          <cell r="AB10">
            <v>10635.02</v>
          </cell>
          <cell r="AC10">
            <v>1663</v>
          </cell>
          <cell r="AD10">
            <v>5621</v>
          </cell>
          <cell r="AE10">
            <v>3068.2</v>
          </cell>
          <cell r="AF10">
            <v>3500.22</v>
          </cell>
          <cell r="AG10">
            <v>35122.460000000006</v>
          </cell>
        </row>
        <row r="11">
          <cell r="G11" t="str">
            <v>WRAW02</v>
          </cell>
          <cell r="H11" t="str">
            <v>Month</v>
          </cell>
          <cell r="I11" t="e">
            <v>#REF!</v>
          </cell>
          <cell r="J11">
            <v>1170</v>
          </cell>
          <cell r="K11">
            <v>1</v>
          </cell>
          <cell r="L11" t="e">
            <v>#REF!</v>
          </cell>
          <cell r="M11">
            <v>43170</v>
          </cell>
          <cell r="N11">
            <v>3</v>
          </cell>
          <cell r="O11">
            <v>1114</v>
          </cell>
          <cell r="P11">
            <v>1</v>
          </cell>
          <cell r="Q11">
            <v>3342</v>
          </cell>
          <cell r="R11">
            <v>0</v>
          </cell>
          <cell r="S11">
            <v>0</v>
          </cell>
          <cell r="T11">
            <v>0</v>
          </cell>
          <cell r="U11">
            <v>0</v>
          </cell>
          <cell r="V11">
            <v>1100</v>
          </cell>
          <cell r="W11">
            <v>1100</v>
          </cell>
          <cell r="X11">
            <v>1165.02</v>
          </cell>
          <cell r="Y11">
            <v>1100</v>
          </cell>
          <cell r="Z11">
            <v>1300</v>
          </cell>
          <cell r="AA11">
            <v>1500</v>
          </cell>
          <cell r="AB11">
            <v>7265.02</v>
          </cell>
          <cell r="AC11">
            <v>1260</v>
          </cell>
          <cell r="AD11">
            <v>2744</v>
          </cell>
          <cell r="AE11">
            <v>1505.15</v>
          </cell>
          <cell r="AF11">
            <v>1717.08</v>
          </cell>
          <cell r="AG11">
            <v>21756.270000000004</v>
          </cell>
        </row>
        <row r="12">
          <cell r="G12" t="str">
            <v>WRAW03</v>
          </cell>
          <cell r="H12" t="str">
            <v>Month</v>
          </cell>
          <cell r="I12" t="e">
            <v>#REF!</v>
          </cell>
          <cell r="J12">
            <v>908</v>
          </cell>
          <cell r="K12">
            <v>1</v>
          </cell>
          <cell r="L12" t="e">
            <v>#REF!</v>
          </cell>
          <cell r="M12">
            <v>21780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row>
        <row r="13">
          <cell r="G13" t="str">
            <v>WRAW04</v>
          </cell>
          <cell r="H13" t="str">
            <v>Month</v>
          </cell>
          <cell r="I13" t="e">
            <v>#REF!</v>
          </cell>
          <cell r="J13">
            <v>908</v>
          </cell>
          <cell r="K13">
            <v>1</v>
          </cell>
          <cell r="L13" t="e">
            <v>#REF!</v>
          </cell>
          <cell r="M13">
            <v>30894</v>
          </cell>
          <cell r="N13">
            <v>0</v>
          </cell>
          <cell r="O13">
            <v>0</v>
          </cell>
          <cell r="P13">
            <v>0</v>
          </cell>
          <cell r="Q13">
            <v>0</v>
          </cell>
          <cell r="R13">
            <v>0</v>
          </cell>
          <cell r="S13">
            <v>0</v>
          </cell>
          <cell r="T13">
            <v>0</v>
          </cell>
          <cell r="U13">
            <v>0</v>
          </cell>
          <cell r="V13">
            <v>0</v>
          </cell>
          <cell r="W13">
            <v>0</v>
          </cell>
          <cell r="X13">
            <v>0</v>
          </cell>
          <cell r="Y13">
            <v>0</v>
          </cell>
          <cell r="Z13">
            <v>0</v>
          </cell>
          <cell r="AA13">
            <v>603</v>
          </cell>
          <cell r="AB13">
            <v>603</v>
          </cell>
          <cell r="AC13">
            <v>72</v>
          </cell>
          <cell r="AD13">
            <v>1810</v>
          </cell>
          <cell r="AE13">
            <v>984.14</v>
          </cell>
          <cell r="AF13">
            <v>1122.71</v>
          </cell>
          <cell r="AG13">
            <v>5194.8500000000004</v>
          </cell>
        </row>
        <row r="14">
          <cell r="G14" t="str">
            <v>WRAW05</v>
          </cell>
          <cell r="H14" t="str">
            <v>Month</v>
          </cell>
          <cell r="I14" t="e">
            <v>#REF!</v>
          </cell>
          <cell r="J14">
            <v>750</v>
          </cell>
          <cell r="K14">
            <v>1</v>
          </cell>
          <cell r="L14" t="e">
            <v>#REF!</v>
          </cell>
          <cell r="M14">
            <v>27654</v>
          </cell>
          <cell r="N14">
            <v>3</v>
          </cell>
          <cell r="O14">
            <v>714</v>
          </cell>
          <cell r="P14">
            <v>1</v>
          </cell>
          <cell r="Q14">
            <v>2142</v>
          </cell>
          <cell r="R14">
            <v>0</v>
          </cell>
          <cell r="S14">
            <v>0</v>
          </cell>
          <cell r="T14">
            <v>0</v>
          </cell>
          <cell r="U14">
            <v>0</v>
          </cell>
          <cell r="V14">
            <v>0</v>
          </cell>
          <cell r="W14">
            <v>767</v>
          </cell>
          <cell r="X14">
            <v>500</v>
          </cell>
          <cell r="Y14">
            <v>500</v>
          </cell>
          <cell r="Z14">
            <v>500</v>
          </cell>
          <cell r="AA14">
            <v>500</v>
          </cell>
          <cell r="AB14">
            <v>2767</v>
          </cell>
          <cell r="AC14">
            <v>331</v>
          </cell>
          <cell r="AD14">
            <v>1067</v>
          </cell>
          <cell r="AE14">
            <v>578.91</v>
          </cell>
          <cell r="AF14">
            <v>660.43</v>
          </cell>
          <cell r="AG14">
            <v>8171.34</v>
          </cell>
        </row>
        <row r="15">
          <cell r="G15">
            <v>0</v>
          </cell>
          <cell r="H15">
            <v>0</v>
          </cell>
          <cell r="I15">
            <v>0</v>
          </cell>
          <cell r="J15">
            <v>0</v>
          </cell>
          <cell r="K15">
            <v>0</v>
          </cell>
          <cell r="L15" t="e">
            <v>#REF!</v>
          </cell>
          <cell r="M15">
            <v>25722</v>
          </cell>
          <cell r="N15">
            <v>0</v>
          </cell>
          <cell r="O15">
            <v>0</v>
          </cell>
          <cell r="P15">
            <v>0</v>
          </cell>
          <cell r="Q15">
            <v>1992</v>
          </cell>
          <cell r="R15">
            <v>0</v>
          </cell>
          <cell r="S15">
            <v>0</v>
          </cell>
          <cell r="T15">
            <v>0</v>
          </cell>
          <cell r="U15">
            <v>0</v>
          </cell>
          <cell r="V15">
            <v>650</v>
          </cell>
          <cell r="W15">
            <v>650</v>
          </cell>
          <cell r="X15">
            <v>650</v>
          </cell>
          <cell r="Y15">
            <v>687.74</v>
          </cell>
          <cell r="Z15">
            <v>650</v>
          </cell>
          <cell r="AA15">
            <v>650</v>
          </cell>
          <cell r="AB15">
            <v>3937.74</v>
          </cell>
          <cell r="AC15">
            <v>645</v>
          </cell>
          <cell r="AD15">
            <v>1376</v>
          </cell>
          <cell r="AE15">
            <v>752.58</v>
          </cell>
          <cell r="AF15">
            <v>437.06</v>
          </cell>
          <cell r="AG15">
            <v>11086.119999999999</v>
          </cell>
        </row>
        <row r="16">
          <cell r="G16" t="str">
            <v>WRAW06</v>
          </cell>
          <cell r="H16" t="str">
            <v>Month</v>
          </cell>
          <cell r="I16" t="e">
            <v>#REF!</v>
          </cell>
          <cell r="J16">
            <v>700</v>
          </cell>
          <cell r="K16">
            <v>1</v>
          </cell>
          <cell r="L16" t="e">
            <v>#REF!</v>
          </cell>
          <cell r="M16">
            <v>25722</v>
          </cell>
          <cell r="N16">
            <v>3</v>
          </cell>
          <cell r="O16">
            <v>664</v>
          </cell>
          <cell r="P16">
            <v>1</v>
          </cell>
          <cell r="Q16">
            <v>1992</v>
          </cell>
          <cell r="R16">
            <v>0</v>
          </cell>
          <cell r="S16">
            <v>0</v>
          </cell>
          <cell r="T16">
            <v>0</v>
          </cell>
          <cell r="U16">
            <v>0</v>
          </cell>
          <cell r="V16">
            <v>650</v>
          </cell>
          <cell r="W16">
            <v>650</v>
          </cell>
          <cell r="X16">
            <v>650</v>
          </cell>
          <cell r="Y16">
            <v>687.74</v>
          </cell>
          <cell r="Z16">
            <v>650</v>
          </cell>
          <cell r="AA16">
            <v>650</v>
          </cell>
          <cell r="AB16">
            <v>3937.74</v>
          </cell>
          <cell r="AC16">
            <v>645</v>
          </cell>
          <cell r="AD16">
            <v>1376</v>
          </cell>
          <cell r="AE16">
            <v>752.58</v>
          </cell>
          <cell r="AF16">
            <v>437.06</v>
          </cell>
          <cell r="AG16">
            <v>11086.119999999999</v>
          </cell>
        </row>
        <row r="17">
          <cell r="G17">
            <v>0</v>
          </cell>
          <cell r="H17">
            <v>0</v>
          </cell>
          <cell r="I17">
            <v>0</v>
          </cell>
          <cell r="J17">
            <v>0</v>
          </cell>
          <cell r="K17">
            <v>0</v>
          </cell>
          <cell r="L17" t="e">
            <v>#REF!</v>
          </cell>
          <cell r="M17">
            <v>98250</v>
          </cell>
          <cell r="N17">
            <v>0</v>
          </cell>
          <cell r="O17">
            <v>0</v>
          </cell>
          <cell r="P17">
            <v>0</v>
          </cell>
          <cell r="Q17">
            <v>6525</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row>
        <row r="18">
          <cell r="G18">
            <v>0</v>
          </cell>
          <cell r="H18">
            <v>0</v>
          </cell>
          <cell r="I18">
            <v>0</v>
          </cell>
          <cell r="J18">
            <v>0</v>
          </cell>
          <cell r="K18">
            <v>0</v>
          </cell>
          <cell r="L18" t="e">
            <v>#REF!</v>
          </cell>
          <cell r="M18">
            <v>51750</v>
          </cell>
          <cell r="N18">
            <v>0</v>
          </cell>
          <cell r="O18">
            <v>0</v>
          </cell>
          <cell r="P18">
            <v>0</v>
          </cell>
          <cell r="Q18">
            <v>2925</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row>
        <row r="19">
          <cell r="G19" t="str">
            <v>WRAW07</v>
          </cell>
          <cell r="H19" t="str">
            <v>Day</v>
          </cell>
          <cell r="I19" t="e">
            <v>#REF!</v>
          </cell>
          <cell r="J19">
            <v>450</v>
          </cell>
          <cell r="K19">
            <v>0.5</v>
          </cell>
          <cell r="L19" t="e">
            <v>#REF!</v>
          </cell>
          <cell r="M19">
            <v>22500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row>
        <row r="20">
          <cell r="G20" t="str">
            <v>WRAW08</v>
          </cell>
          <cell r="H20" t="str">
            <v>Day</v>
          </cell>
          <cell r="I20" t="e">
            <v>#REF!</v>
          </cell>
          <cell r="J20">
            <v>450</v>
          </cell>
          <cell r="K20">
            <v>0.5</v>
          </cell>
          <cell r="L20" t="e">
            <v>#REF!</v>
          </cell>
          <cell r="M20">
            <v>6750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row>
        <row r="21">
          <cell r="G21" t="str">
            <v>WRAW09</v>
          </cell>
          <cell r="H21" t="str">
            <v>Day</v>
          </cell>
          <cell r="I21" t="e">
            <v>#REF!</v>
          </cell>
          <cell r="J21">
            <v>450</v>
          </cell>
          <cell r="K21">
            <v>0.5</v>
          </cell>
          <cell r="L21" t="e">
            <v>#REF!</v>
          </cell>
          <cell r="M21">
            <v>22500</v>
          </cell>
          <cell r="N21">
            <v>13</v>
          </cell>
          <cell r="O21">
            <v>450</v>
          </cell>
          <cell r="P21">
            <v>0.5</v>
          </cell>
          <cell r="Q21">
            <v>2925</v>
          </cell>
          <cell r="R21">
            <v>0.5</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row>
        <row r="22">
          <cell r="G22">
            <v>0</v>
          </cell>
          <cell r="H22">
            <v>0</v>
          </cell>
          <cell r="I22">
            <v>0</v>
          </cell>
          <cell r="J22">
            <v>0</v>
          </cell>
          <cell r="K22">
            <v>0</v>
          </cell>
          <cell r="L22" t="e">
            <v>#REF!</v>
          </cell>
          <cell r="M22">
            <v>46500</v>
          </cell>
          <cell r="N22">
            <v>0</v>
          </cell>
          <cell r="O22">
            <v>0</v>
          </cell>
          <cell r="P22">
            <v>0</v>
          </cell>
          <cell r="Q22">
            <v>3600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row>
        <row r="23">
          <cell r="G23" t="str">
            <v>WRAW10</v>
          </cell>
          <cell r="H23" t="str">
            <v>Day</v>
          </cell>
          <cell r="I23" t="e">
            <v>#REF!</v>
          </cell>
          <cell r="J23">
            <v>150</v>
          </cell>
          <cell r="K23">
            <v>0.5</v>
          </cell>
          <cell r="L23" t="e">
            <v>#REF!</v>
          </cell>
          <cell r="M23">
            <v>21000</v>
          </cell>
          <cell r="N23">
            <v>20</v>
          </cell>
          <cell r="O23">
            <v>150</v>
          </cell>
          <cell r="P23">
            <v>0.5</v>
          </cell>
          <cell r="Q23">
            <v>1500</v>
          </cell>
          <cell r="R23">
            <v>0.5</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row>
        <row r="24">
          <cell r="G24" t="str">
            <v>WRAW11</v>
          </cell>
          <cell r="H24" t="str">
            <v>Day</v>
          </cell>
          <cell r="I24" t="e">
            <v>#REF!</v>
          </cell>
          <cell r="J24">
            <v>150</v>
          </cell>
          <cell r="K24">
            <v>0.5</v>
          </cell>
          <cell r="L24" t="e">
            <v>#REF!</v>
          </cell>
          <cell r="M24">
            <v>21000</v>
          </cell>
          <cell r="N24">
            <v>20</v>
          </cell>
          <cell r="O24">
            <v>150</v>
          </cell>
          <cell r="P24">
            <v>0.5</v>
          </cell>
          <cell r="Q24">
            <v>1500</v>
          </cell>
          <cell r="R24">
            <v>0.5</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row>
        <row r="25">
          <cell r="G25" t="str">
            <v>WRAW12</v>
          </cell>
          <cell r="H25" t="str">
            <v>Day</v>
          </cell>
          <cell r="I25" t="e">
            <v>#REF!</v>
          </cell>
          <cell r="J25">
            <v>150</v>
          </cell>
          <cell r="K25">
            <v>0.5</v>
          </cell>
          <cell r="L25" t="e">
            <v>#REF!</v>
          </cell>
          <cell r="M25">
            <v>4500</v>
          </cell>
          <cell r="N25">
            <v>8</v>
          </cell>
          <cell r="O25">
            <v>150</v>
          </cell>
          <cell r="P25">
            <v>0.5</v>
          </cell>
          <cell r="Q25">
            <v>600</v>
          </cell>
          <cell r="R25">
            <v>0.5</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row>
        <row r="26">
          <cell r="G26">
            <v>0</v>
          </cell>
          <cell r="H26">
            <v>0</v>
          </cell>
          <cell r="I26">
            <v>0</v>
          </cell>
          <cell r="J26">
            <v>0</v>
          </cell>
          <cell r="K26">
            <v>0</v>
          </cell>
          <cell r="L26" t="e">
            <v>#REF!</v>
          </cell>
          <cell r="M26">
            <v>42760</v>
          </cell>
          <cell r="N26">
            <v>0</v>
          </cell>
          <cell r="O26">
            <v>0</v>
          </cell>
          <cell r="P26">
            <v>0</v>
          </cell>
          <cell r="Q26">
            <v>4200</v>
          </cell>
          <cell r="R26">
            <v>0</v>
          </cell>
          <cell r="S26">
            <v>0</v>
          </cell>
          <cell r="T26">
            <v>0</v>
          </cell>
          <cell r="U26">
            <v>0</v>
          </cell>
          <cell r="V26">
            <v>0</v>
          </cell>
          <cell r="W26">
            <v>0</v>
          </cell>
          <cell r="X26">
            <v>49.37</v>
          </cell>
          <cell r="Y26">
            <v>240.17999999999998</v>
          </cell>
          <cell r="Z26">
            <v>0</v>
          </cell>
          <cell r="AA26">
            <v>57.67</v>
          </cell>
          <cell r="AB26">
            <v>347.21999999999997</v>
          </cell>
          <cell r="AC26">
            <v>22.49</v>
          </cell>
          <cell r="AD26">
            <v>0</v>
          </cell>
          <cell r="AE26">
            <v>10.48</v>
          </cell>
          <cell r="AF26">
            <v>115.06</v>
          </cell>
          <cell r="AG26">
            <v>842.47</v>
          </cell>
        </row>
        <row r="27">
          <cell r="G27" t="str">
            <v>WRAW13</v>
          </cell>
          <cell r="H27" t="str">
            <v>Day</v>
          </cell>
          <cell r="I27" t="e">
            <v>#REF!</v>
          </cell>
          <cell r="J27">
            <v>100</v>
          </cell>
          <cell r="K27">
            <v>0.5</v>
          </cell>
          <cell r="L27" t="e">
            <v>#REF!</v>
          </cell>
          <cell r="M27">
            <v>11500</v>
          </cell>
          <cell r="N27">
            <v>13</v>
          </cell>
          <cell r="O27">
            <v>100</v>
          </cell>
          <cell r="P27">
            <v>0.5</v>
          </cell>
          <cell r="Q27">
            <v>650</v>
          </cell>
          <cell r="R27">
            <v>0.5</v>
          </cell>
          <cell r="S27">
            <v>0</v>
          </cell>
          <cell r="T27">
            <v>0</v>
          </cell>
          <cell r="U27">
            <v>0</v>
          </cell>
          <cell r="V27">
            <v>0</v>
          </cell>
          <cell r="W27">
            <v>0</v>
          </cell>
          <cell r="X27">
            <v>0</v>
          </cell>
          <cell r="Y27">
            <v>23.54</v>
          </cell>
          <cell r="Z27">
            <v>0</v>
          </cell>
          <cell r="AA27">
            <v>0</v>
          </cell>
          <cell r="AB27">
            <v>23.54</v>
          </cell>
          <cell r="AC27">
            <v>0</v>
          </cell>
          <cell r="AD27">
            <v>0</v>
          </cell>
          <cell r="AE27">
            <v>0</v>
          </cell>
          <cell r="AF27">
            <v>52.93</v>
          </cell>
          <cell r="AG27">
            <v>100.00999999999999</v>
          </cell>
        </row>
        <row r="28">
          <cell r="G28" t="str">
            <v>WRAW14</v>
          </cell>
          <cell r="H28" t="str">
            <v>Day</v>
          </cell>
          <cell r="I28" t="e">
            <v>#REF!</v>
          </cell>
          <cell r="J28">
            <v>60</v>
          </cell>
          <cell r="K28">
            <v>0.5</v>
          </cell>
          <cell r="L28" t="e">
            <v>#REF!</v>
          </cell>
          <cell r="M28">
            <v>25080</v>
          </cell>
          <cell r="N28">
            <v>84</v>
          </cell>
          <cell r="O28">
            <v>60</v>
          </cell>
          <cell r="P28">
            <v>0.5</v>
          </cell>
          <cell r="Q28">
            <v>2520</v>
          </cell>
          <cell r="R28">
            <v>0.5</v>
          </cell>
          <cell r="S28">
            <v>0</v>
          </cell>
          <cell r="T28">
            <v>0</v>
          </cell>
          <cell r="U28">
            <v>0</v>
          </cell>
          <cell r="V28">
            <v>0</v>
          </cell>
          <cell r="W28">
            <v>0</v>
          </cell>
          <cell r="X28">
            <v>49.37</v>
          </cell>
          <cell r="Y28">
            <v>216.64</v>
          </cell>
          <cell r="Z28">
            <v>0</v>
          </cell>
          <cell r="AA28">
            <v>57.67</v>
          </cell>
          <cell r="AB28">
            <v>323.68</v>
          </cell>
          <cell r="AC28">
            <v>22.49</v>
          </cell>
          <cell r="AD28">
            <v>0</v>
          </cell>
          <cell r="AE28">
            <v>10.48</v>
          </cell>
          <cell r="AF28">
            <v>58.68</v>
          </cell>
          <cell r="AG28">
            <v>739.01</v>
          </cell>
        </row>
        <row r="29">
          <cell r="G29" t="str">
            <v>WRAW15</v>
          </cell>
          <cell r="H29" t="str">
            <v>Roundtrip</v>
          </cell>
          <cell r="I29" t="e">
            <v>#REF!</v>
          </cell>
          <cell r="J29">
            <v>2000</v>
          </cell>
          <cell r="K29">
            <v>0.5</v>
          </cell>
          <cell r="L29" t="e">
            <v>#REF!</v>
          </cell>
          <cell r="M29">
            <v>6000</v>
          </cell>
          <cell r="N29">
            <v>1</v>
          </cell>
          <cell r="O29">
            <v>2000</v>
          </cell>
          <cell r="P29">
            <v>0.5</v>
          </cell>
          <cell r="Q29">
            <v>1000</v>
          </cell>
          <cell r="R29">
            <v>0.5</v>
          </cell>
          <cell r="S29">
            <v>0</v>
          </cell>
          <cell r="T29">
            <v>0</v>
          </cell>
          <cell r="U29">
            <v>0</v>
          </cell>
          <cell r="V29">
            <v>0</v>
          </cell>
          <cell r="W29">
            <v>0</v>
          </cell>
          <cell r="X29">
            <v>0</v>
          </cell>
          <cell r="Y29">
            <v>0</v>
          </cell>
          <cell r="Z29">
            <v>0</v>
          </cell>
          <cell r="AA29">
            <v>0</v>
          </cell>
          <cell r="AB29">
            <v>0</v>
          </cell>
          <cell r="AC29">
            <v>0</v>
          </cell>
          <cell r="AD29">
            <v>0</v>
          </cell>
          <cell r="AE29">
            <v>0</v>
          </cell>
          <cell r="AF29">
            <v>3.45</v>
          </cell>
          <cell r="AG29">
            <v>3.45</v>
          </cell>
        </row>
        <row r="30">
          <cell r="G30" t="str">
            <v>WRAW16</v>
          </cell>
          <cell r="H30" t="str">
            <v>Unit</v>
          </cell>
          <cell r="I30" t="e">
            <v>#REF!</v>
          </cell>
          <cell r="J30">
            <v>60</v>
          </cell>
          <cell r="K30">
            <v>0.5</v>
          </cell>
          <cell r="L30" t="e">
            <v>#REF!</v>
          </cell>
          <cell r="M30">
            <v>180</v>
          </cell>
          <cell r="N30">
            <v>1</v>
          </cell>
          <cell r="O30">
            <v>60</v>
          </cell>
          <cell r="P30">
            <v>0.5</v>
          </cell>
          <cell r="Q30">
            <v>30</v>
          </cell>
          <cell r="R30">
            <v>0.5</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row>
        <row r="31">
          <cell r="G31">
            <v>0</v>
          </cell>
          <cell r="H31">
            <v>0</v>
          </cell>
          <cell r="I31">
            <v>0</v>
          </cell>
          <cell r="J31">
            <v>0</v>
          </cell>
          <cell r="K31">
            <v>0</v>
          </cell>
          <cell r="L31" t="e">
            <v>#REF!</v>
          </cell>
          <cell r="M31">
            <v>81680</v>
          </cell>
          <cell r="N31">
            <v>0</v>
          </cell>
          <cell r="O31">
            <v>0</v>
          </cell>
          <cell r="P31">
            <v>0</v>
          </cell>
          <cell r="Q31">
            <v>5286</v>
          </cell>
          <cell r="R31">
            <v>0</v>
          </cell>
          <cell r="S31">
            <v>0</v>
          </cell>
          <cell r="T31">
            <v>0</v>
          </cell>
          <cell r="U31">
            <v>0</v>
          </cell>
          <cell r="V31">
            <v>362.81</v>
          </cell>
          <cell r="W31">
            <v>830.41</v>
          </cell>
          <cell r="X31">
            <v>1758.5</v>
          </cell>
          <cell r="Y31">
            <v>663.76</v>
          </cell>
          <cell r="Z31">
            <v>3.35</v>
          </cell>
          <cell r="AA31">
            <v>1126.32</v>
          </cell>
          <cell r="AB31">
            <v>4298.8899999999994</v>
          </cell>
          <cell r="AC31">
            <v>915.81999999999994</v>
          </cell>
          <cell r="AD31">
            <v>390.54</v>
          </cell>
          <cell r="AE31">
            <v>341.74</v>
          </cell>
          <cell r="AF31">
            <v>224.41000000000003</v>
          </cell>
          <cell r="AG31">
            <v>11362.810000000001</v>
          </cell>
        </row>
        <row r="32">
          <cell r="G32">
            <v>0</v>
          </cell>
          <cell r="H32">
            <v>0</v>
          </cell>
          <cell r="I32">
            <v>0</v>
          </cell>
          <cell r="J32">
            <v>0</v>
          </cell>
          <cell r="K32">
            <v>0</v>
          </cell>
          <cell r="L32" t="e">
            <v>#REF!</v>
          </cell>
          <cell r="M32">
            <v>14400</v>
          </cell>
          <cell r="N32">
            <v>0</v>
          </cell>
          <cell r="O32">
            <v>0</v>
          </cell>
          <cell r="P32">
            <v>0</v>
          </cell>
          <cell r="Q32">
            <v>725</v>
          </cell>
          <cell r="R32">
            <v>0</v>
          </cell>
          <cell r="S32">
            <v>0</v>
          </cell>
          <cell r="T32">
            <v>0</v>
          </cell>
          <cell r="U32">
            <v>0</v>
          </cell>
          <cell r="V32">
            <v>362.81</v>
          </cell>
          <cell r="W32">
            <v>188.76999999999998</v>
          </cell>
          <cell r="X32">
            <v>230.28</v>
          </cell>
          <cell r="Y32">
            <v>35.880000000000003</v>
          </cell>
          <cell r="Z32">
            <v>0</v>
          </cell>
          <cell r="AA32">
            <v>574.08999999999992</v>
          </cell>
          <cell r="AB32">
            <v>1391.83</v>
          </cell>
          <cell r="AC32">
            <v>537.30999999999995</v>
          </cell>
          <cell r="AD32">
            <v>0</v>
          </cell>
          <cell r="AE32">
            <v>248.72</v>
          </cell>
          <cell r="AF32">
            <v>27.37</v>
          </cell>
          <cell r="AG32">
            <v>3597.0599999999995</v>
          </cell>
        </row>
        <row r="33">
          <cell r="G33" t="str">
            <v>WRAW17</v>
          </cell>
          <cell r="H33" t="str">
            <v>Trips</v>
          </cell>
          <cell r="I33" t="e">
            <v>#REF!</v>
          </cell>
          <cell r="J33">
            <v>500</v>
          </cell>
          <cell r="K33">
            <v>0.5</v>
          </cell>
          <cell r="L33" t="e">
            <v>#REF!</v>
          </cell>
          <cell r="M33">
            <v>9000</v>
          </cell>
          <cell r="N33">
            <v>2</v>
          </cell>
          <cell r="O33">
            <v>500</v>
          </cell>
          <cell r="P33">
            <v>0.5</v>
          </cell>
          <cell r="Q33">
            <v>500</v>
          </cell>
          <cell r="R33">
            <v>0.5</v>
          </cell>
          <cell r="S33">
            <v>0</v>
          </cell>
          <cell r="T33">
            <v>0</v>
          </cell>
          <cell r="U33">
            <v>0</v>
          </cell>
          <cell r="V33">
            <v>362.81</v>
          </cell>
          <cell r="W33">
            <v>144.26</v>
          </cell>
          <cell r="X33">
            <v>0</v>
          </cell>
          <cell r="Y33">
            <v>0</v>
          </cell>
          <cell r="Z33">
            <v>0</v>
          </cell>
          <cell r="AA33">
            <v>417.53</v>
          </cell>
          <cell r="AB33">
            <v>924.59999999999991</v>
          </cell>
          <cell r="AC33">
            <v>352.53</v>
          </cell>
          <cell r="AD33">
            <v>0</v>
          </cell>
          <cell r="AE33">
            <v>151.34</v>
          </cell>
          <cell r="AF33">
            <v>0</v>
          </cell>
          <cell r="AG33">
            <v>2353.0699999999997</v>
          </cell>
        </row>
        <row r="34">
          <cell r="G34" t="str">
            <v>WRAW18</v>
          </cell>
          <cell r="H34" t="str">
            <v>Month</v>
          </cell>
          <cell r="I34" t="e">
            <v>#REF!</v>
          </cell>
          <cell r="J34">
            <v>150</v>
          </cell>
          <cell r="K34">
            <v>0.5</v>
          </cell>
          <cell r="L34" t="e">
            <v>#REF!</v>
          </cell>
          <cell r="M34">
            <v>5400</v>
          </cell>
          <cell r="N34">
            <v>3</v>
          </cell>
          <cell r="O34">
            <v>150</v>
          </cell>
          <cell r="P34">
            <v>0.5</v>
          </cell>
          <cell r="Q34">
            <v>225</v>
          </cell>
          <cell r="R34">
            <v>0.5</v>
          </cell>
          <cell r="S34">
            <v>0</v>
          </cell>
          <cell r="T34">
            <v>0</v>
          </cell>
          <cell r="U34">
            <v>0</v>
          </cell>
          <cell r="V34">
            <v>0</v>
          </cell>
          <cell r="W34">
            <v>44.51</v>
          </cell>
          <cell r="X34">
            <v>230.28</v>
          </cell>
          <cell r="Y34">
            <v>35.880000000000003</v>
          </cell>
          <cell r="Z34">
            <v>0</v>
          </cell>
          <cell r="AA34">
            <v>156.56</v>
          </cell>
          <cell r="AB34">
            <v>467.23</v>
          </cell>
          <cell r="AC34">
            <v>184.78</v>
          </cell>
          <cell r="AD34">
            <v>0</v>
          </cell>
          <cell r="AE34">
            <v>97.38</v>
          </cell>
          <cell r="AF34">
            <v>27.37</v>
          </cell>
          <cell r="AG34">
            <v>1243.9899999999998</v>
          </cell>
        </row>
        <row r="35">
          <cell r="G35">
            <v>0</v>
          </cell>
          <cell r="H35">
            <v>0</v>
          </cell>
          <cell r="I35">
            <v>0</v>
          </cell>
          <cell r="J35">
            <v>0</v>
          </cell>
          <cell r="K35">
            <v>0</v>
          </cell>
          <cell r="L35" t="e">
            <v>#REF!</v>
          </cell>
          <cell r="M35">
            <v>10320</v>
          </cell>
          <cell r="N35">
            <v>0</v>
          </cell>
          <cell r="O35">
            <v>0</v>
          </cell>
          <cell r="P35">
            <v>0</v>
          </cell>
          <cell r="Q35">
            <v>4103.5</v>
          </cell>
          <cell r="R35">
            <v>0</v>
          </cell>
          <cell r="S35">
            <v>0</v>
          </cell>
          <cell r="T35">
            <v>0</v>
          </cell>
          <cell r="U35">
            <v>0</v>
          </cell>
          <cell r="V35">
            <v>0</v>
          </cell>
          <cell r="W35">
            <v>345.39</v>
          </cell>
          <cell r="X35">
            <v>1528.22</v>
          </cell>
          <cell r="Y35">
            <v>481.22</v>
          </cell>
          <cell r="Z35">
            <v>0</v>
          </cell>
          <cell r="AA35">
            <v>0</v>
          </cell>
          <cell r="AB35">
            <v>2354.83</v>
          </cell>
          <cell r="AC35">
            <v>91.07</v>
          </cell>
          <cell r="AD35">
            <v>364.5</v>
          </cell>
          <cell r="AE35">
            <v>0</v>
          </cell>
          <cell r="AF35">
            <v>0</v>
          </cell>
          <cell r="AG35">
            <v>5165.2300000000005</v>
          </cell>
        </row>
        <row r="36">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row>
        <row r="37">
          <cell r="G37" t="str">
            <v>WRAW19</v>
          </cell>
          <cell r="H37" t="str">
            <v>Unit</v>
          </cell>
          <cell r="I37" t="e">
            <v>#REF!</v>
          </cell>
          <cell r="J37">
            <v>25</v>
          </cell>
          <cell r="K37">
            <v>0.5</v>
          </cell>
          <cell r="L37" t="e">
            <v>#REF!</v>
          </cell>
          <cell r="M37">
            <v>150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47</v>
          </cell>
          <cell r="AD37">
            <v>0</v>
          </cell>
          <cell r="AE37">
            <v>0</v>
          </cell>
          <cell r="AF37">
            <v>0</v>
          </cell>
          <cell r="AG37">
            <v>47</v>
          </cell>
        </row>
        <row r="38">
          <cell r="G38" t="str">
            <v>WRAW20</v>
          </cell>
          <cell r="H38" t="str">
            <v>Unit</v>
          </cell>
          <cell r="I38" t="e">
            <v>#REF!</v>
          </cell>
          <cell r="J38">
            <v>90</v>
          </cell>
          <cell r="K38">
            <v>0.5</v>
          </cell>
          <cell r="L38" t="e">
            <v>#REF!</v>
          </cell>
          <cell r="M38">
            <v>90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44.07</v>
          </cell>
          <cell r="AD38">
            <v>0</v>
          </cell>
          <cell r="AE38">
            <v>0</v>
          </cell>
          <cell r="AF38">
            <v>0</v>
          </cell>
          <cell r="AG38">
            <v>44.07</v>
          </cell>
        </row>
        <row r="39">
          <cell r="G39" t="str">
            <v>WRAW21</v>
          </cell>
          <cell r="H39" t="str">
            <v>Unit</v>
          </cell>
          <cell r="I39" t="e">
            <v>#REF!</v>
          </cell>
          <cell r="J39">
            <v>167</v>
          </cell>
          <cell r="K39">
            <v>0.5</v>
          </cell>
          <cell r="L39" t="e">
            <v>#REF!</v>
          </cell>
          <cell r="M39">
            <v>167</v>
          </cell>
          <cell r="N39">
            <v>1</v>
          </cell>
          <cell r="O39">
            <v>167</v>
          </cell>
          <cell r="P39">
            <v>0.5</v>
          </cell>
          <cell r="Q39">
            <v>83.5</v>
          </cell>
          <cell r="R39">
            <v>0.5</v>
          </cell>
          <cell r="S39">
            <v>0</v>
          </cell>
          <cell r="T39">
            <v>0</v>
          </cell>
          <cell r="U39">
            <v>0</v>
          </cell>
          <cell r="V39">
            <v>0</v>
          </cell>
          <cell r="W39">
            <v>136.31</v>
          </cell>
          <cell r="X39">
            <v>0</v>
          </cell>
          <cell r="Y39">
            <v>0</v>
          </cell>
          <cell r="Z39">
            <v>0</v>
          </cell>
          <cell r="AA39">
            <v>0</v>
          </cell>
          <cell r="AB39">
            <v>136.31</v>
          </cell>
          <cell r="AC39">
            <v>0</v>
          </cell>
          <cell r="AD39">
            <v>0</v>
          </cell>
          <cell r="AE39">
            <v>0</v>
          </cell>
          <cell r="AF39">
            <v>0</v>
          </cell>
          <cell r="AG39">
            <v>272.62</v>
          </cell>
        </row>
        <row r="40">
          <cell r="G40" t="str">
            <v>WRAW22</v>
          </cell>
          <cell r="H40" t="str">
            <v>Unit</v>
          </cell>
          <cell r="I40" t="e">
            <v>#REF!</v>
          </cell>
          <cell r="J40">
            <v>150</v>
          </cell>
          <cell r="K40">
            <v>0.5</v>
          </cell>
          <cell r="L40" t="e">
            <v>#REF!</v>
          </cell>
          <cell r="M40">
            <v>150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row>
        <row r="41">
          <cell r="G41" t="str">
            <v>WRAW23</v>
          </cell>
          <cell r="H41" t="str">
            <v>Unit</v>
          </cell>
          <cell r="I41" t="e">
            <v>#REF!</v>
          </cell>
          <cell r="J41">
            <v>0</v>
          </cell>
          <cell r="K41">
            <v>0.5</v>
          </cell>
          <cell r="L41" t="e">
            <v>#REF!</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row>
        <row r="42">
          <cell r="G42" t="str">
            <v>WRAW24</v>
          </cell>
          <cell r="H42" t="str">
            <v>Unit</v>
          </cell>
          <cell r="I42" t="e">
            <v>#REF!</v>
          </cell>
          <cell r="J42">
            <v>1200</v>
          </cell>
          <cell r="K42">
            <v>0.5</v>
          </cell>
          <cell r="L42" t="e">
            <v>#REF!</v>
          </cell>
          <cell r="M42">
            <v>3600</v>
          </cell>
          <cell r="N42">
            <v>2</v>
          </cell>
          <cell r="O42">
            <v>1200</v>
          </cell>
          <cell r="P42">
            <v>0.5</v>
          </cell>
          <cell r="Q42">
            <v>1200</v>
          </cell>
          <cell r="R42">
            <v>0.5</v>
          </cell>
          <cell r="S42">
            <v>0</v>
          </cell>
          <cell r="T42">
            <v>0</v>
          </cell>
          <cell r="U42">
            <v>0</v>
          </cell>
          <cell r="V42">
            <v>0</v>
          </cell>
          <cell r="W42">
            <v>0</v>
          </cell>
          <cell r="X42">
            <v>0</v>
          </cell>
          <cell r="Y42">
            <v>0</v>
          </cell>
          <cell r="Z42">
            <v>0</v>
          </cell>
          <cell r="AA42">
            <v>0</v>
          </cell>
          <cell r="AB42">
            <v>0</v>
          </cell>
          <cell r="AC42">
            <v>0</v>
          </cell>
          <cell r="AD42">
            <v>364.5</v>
          </cell>
          <cell r="AE42">
            <v>0</v>
          </cell>
          <cell r="AF42">
            <v>0</v>
          </cell>
          <cell r="AG42">
            <v>364.5</v>
          </cell>
        </row>
        <row r="43">
          <cell r="G43" t="str">
            <v>WRAW25</v>
          </cell>
          <cell r="H43" t="str">
            <v>Unit</v>
          </cell>
          <cell r="I43" t="e">
            <v>#REF!</v>
          </cell>
          <cell r="J43">
            <v>145</v>
          </cell>
          <cell r="K43">
            <v>0.5</v>
          </cell>
          <cell r="L43" t="e">
            <v>#REF!</v>
          </cell>
          <cell r="M43">
            <v>435</v>
          </cell>
          <cell r="N43">
            <v>2</v>
          </cell>
          <cell r="O43">
            <v>145</v>
          </cell>
          <cell r="P43">
            <v>0.5</v>
          </cell>
          <cell r="Q43">
            <v>145</v>
          </cell>
          <cell r="R43">
            <v>0.5</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row>
        <row r="44">
          <cell r="G44" t="str">
            <v>WRAW26</v>
          </cell>
          <cell r="H44" t="str">
            <v>Unit</v>
          </cell>
          <cell r="I44" t="e">
            <v>#REF!</v>
          </cell>
          <cell r="J44">
            <v>1500</v>
          </cell>
          <cell r="K44">
            <v>0.5</v>
          </cell>
          <cell r="L44" t="e">
            <v>#REF!</v>
          </cell>
          <cell r="M44">
            <v>1500</v>
          </cell>
          <cell r="N44">
            <v>1</v>
          </cell>
          <cell r="O44">
            <v>1500</v>
          </cell>
          <cell r="P44">
            <v>0.5</v>
          </cell>
          <cell r="Q44">
            <v>750</v>
          </cell>
          <cell r="R44">
            <v>0.5</v>
          </cell>
          <cell r="S44">
            <v>0</v>
          </cell>
          <cell r="T44">
            <v>0</v>
          </cell>
          <cell r="U44">
            <v>0</v>
          </cell>
          <cell r="V44">
            <v>0</v>
          </cell>
          <cell r="W44">
            <v>0</v>
          </cell>
          <cell r="X44">
            <v>253.22</v>
          </cell>
          <cell r="Y44">
            <v>0</v>
          </cell>
          <cell r="Z44">
            <v>0</v>
          </cell>
          <cell r="AA44">
            <v>0</v>
          </cell>
          <cell r="AB44">
            <v>253.22</v>
          </cell>
          <cell r="AC44">
            <v>0</v>
          </cell>
          <cell r="AD44">
            <v>0</v>
          </cell>
          <cell r="AE44">
            <v>0</v>
          </cell>
          <cell r="AF44">
            <v>0</v>
          </cell>
          <cell r="AG44">
            <v>506.44</v>
          </cell>
        </row>
        <row r="45">
          <cell r="G45" t="str">
            <v>WRAW27</v>
          </cell>
          <cell r="H45" t="str">
            <v>Unit</v>
          </cell>
          <cell r="I45" t="e">
            <v>#REF!</v>
          </cell>
          <cell r="J45">
            <v>2400</v>
          </cell>
          <cell r="K45">
            <v>0.5</v>
          </cell>
          <cell r="L45" t="e">
            <v>#REF!</v>
          </cell>
          <cell r="M45">
            <v>2400</v>
          </cell>
          <cell r="N45">
            <v>1</v>
          </cell>
          <cell r="O45">
            <v>2400</v>
          </cell>
          <cell r="P45">
            <v>0.5</v>
          </cell>
          <cell r="Q45">
            <v>1200</v>
          </cell>
          <cell r="R45">
            <v>0.5</v>
          </cell>
          <cell r="S45">
            <v>0</v>
          </cell>
          <cell r="T45">
            <v>0</v>
          </cell>
          <cell r="U45">
            <v>0</v>
          </cell>
          <cell r="V45">
            <v>0</v>
          </cell>
          <cell r="W45">
            <v>0</v>
          </cell>
          <cell r="X45">
            <v>1275</v>
          </cell>
          <cell r="Y45">
            <v>0</v>
          </cell>
          <cell r="Z45">
            <v>0</v>
          </cell>
          <cell r="AA45">
            <v>0</v>
          </cell>
          <cell r="AB45">
            <v>1275</v>
          </cell>
          <cell r="AC45">
            <v>0</v>
          </cell>
          <cell r="AD45">
            <v>0</v>
          </cell>
          <cell r="AE45">
            <v>0</v>
          </cell>
          <cell r="AF45">
            <v>0</v>
          </cell>
          <cell r="AG45">
            <v>2550</v>
          </cell>
        </row>
        <row r="46">
          <cell r="G46" t="str">
            <v>WRAW28</v>
          </cell>
          <cell r="H46" t="str">
            <v>Unit</v>
          </cell>
          <cell r="I46" t="e">
            <v>#REF!</v>
          </cell>
          <cell r="J46">
            <v>378</v>
          </cell>
          <cell r="K46">
            <v>0.5</v>
          </cell>
          <cell r="L46" t="e">
            <v>#REF!</v>
          </cell>
          <cell r="M46">
            <v>378</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row>
        <row r="47">
          <cell r="G47" t="str">
            <v>WRAW29</v>
          </cell>
          <cell r="H47" t="str">
            <v>unit</v>
          </cell>
          <cell r="I47" t="e">
            <v>#REF!</v>
          </cell>
          <cell r="J47">
            <v>700</v>
          </cell>
          <cell r="K47">
            <v>0.5</v>
          </cell>
          <cell r="L47" t="e">
            <v>#REF!</v>
          </cell>
          <cell r="M47">
            <v>700</v>
          </cell>
          <cell r="N47">
            <v>1</v>
          </cell>
          <cell r="O47">
            <v>700</v>
          </cell>
          <cell r="P47">
            <v>0.5</v>
          </cell>
          <cell r="Q47">
            <v>350</v>
          </cell>
          <cell r="R47">
            <v>0.5</v>
          </cell>
          <cell r="S47">
            <v>0</v>
          </cell>
          <cell r="T47">
            <v>0</v>
          </cell>
          <cell r="U47">
            <v>0</v>
          </cell>
          <cell r="V47">
            <v>0</v>
          </cell>
          <cell r="W47">
            <v>0</v>
          </cell>
          <cell r="X47">
            <v>0</v>
          </cell>
          <cell r="Y47">
            <v>350.17</v>
          </cell>
          <cell r="Z47">
            <v>0</v>
          </cell>
          <cell r="AA47">
            <v>0</v>
          </cell>
          <cell r="AB47">
            <v>350.17</v>
          </cell>
          <cell r="AC47">
            <v>0</v>
          </cell>
          <cell r="AD47">
            <v>0</v>
          </cell>
          <cell r="AE47">
            <v>0</v>
          </cell>
          <cell r="AF47">
            <v>0</v>
          </cell>
          <cell r="AG47">
            <v>700.34</v>
          </cell>
        </row>
        <row r="48">
          <cell r="G48" t="str">
            <v>WRAW30</v>
          </cell>
          <cell r="H48" t="str">
            <v>Unit</v>
          </cell>
          <cell r="I48" t="e">
            <v>#REF!</v>
          </cell>
          <cell r="J48">
            <v>375</v>
          </cell>
          <cell r="K48">
            <v>0.5</v>
          </cell>
          <cell r="L48" t="e">
            <v>#REF!</v>
          </cell>
          <cell r="M48">
            <v>750</v>
          </cell>
          <cell r="N48">
            <v>2</v>
          </cell>
          <cell r="O48">
            <v>375</v>
          </cell>
          <cell r="P48">
            <v>0.5</v>
          </cell>
          <cell r="Q48">
            <v>375</v>
          </cell>
          <cell r="R48">
            <v>0.5</v>
          </cell>
          <cell r="S48">
            <v>0</v>
          </cell>
          <cell r="T48">
            <v>0</v>
          </cell>
          <cell r="U48">
            <v>0</v>
          </cell>
          <cell r="V48">
            <v>0</v>
          </cell>
          <cell r="W48">
            <v>209.08</v>
          </cell>
          <cell r="X48">
            <v>0</v>
          </cell>
          <cell r="Y48">
            <v>131.05000000000001</v>
          </cell>
          <cell r="Z48">
            <v>0</v>
          </cell>
          <cell r="AA48">
            <v>0</v>
          </cell>
          <cell r="AB48">
            <v>340.13</v>
          </cell>
          <cell r="AC48">
            <v>0</v>
          </cell>
          <cell r="AD48">
            <v>0</v>
          </cell>
          <cell r="AE48">
            <v>0</v>
          </cell>
          <cell r="AF48">
            <v>0</v>
          </cell>
          <cell r="AG48">
            <v>680.26</v>
          </cell>
        </row>
        <row r="49">
          <cell r="G49">
            <v>0</v>
          </cell>
          <cell r="H49">
            <v>0</v>
          </cell>
          <cell r="I49">
            <v>0</v>
          </cell>
          <cell r="J49">
            <v>0</v>
          </cell>
          <cell r="K49">
            <v>0</v>
          </cell>
          <cell r="L49" t="e">
            <v>#REF!</v>
          </cell>
          <cell r="M49">
            <v>56960</v>
          </cell>
          <cell r="N49">
            <v>0</v>
          </cell>
          <cell r="O49">
            <v>0</v>
          </cell>
          <cell r="P49">
            <v>0</v>
          </cell>
          <cell r="Q49">
            <v>457.5</v>
          </cell>
          <cell r="R49">
            <v>0</v>
          </cell>
          <cell r="S49">
            <v>0</v>
          </cell>
          <cell r="T49">
            <v>0</v>
          </cell>
          <cell r="U49">
            <v>0</v>
          </cell>
          <cell r="V49">
            <v>0</v>
          </cell>
          <cell r="W49">
            <v>296.25</v>
          </cell>
          <cell r="X49">
            <v>0</v>
          </cell>
          <cell r="Y49">
            <v>146.66</v>
          </cell>
          <cell r="Z49">
            <v>3.35</v>
          </cell>
          <cell r="AA49">
            <v>552.23</v>
          </cell>
          <cell r="AB49">
            <v>552.23</v>
          </cell>
          <cell r="AC49">
            <v>287.44</v>
          </cell>
          <cell r="AD49">
            <v>26.04</v>
          </cell>
          <cell r="AE49">
            <v>93.02</v>
          </cell>
          <cell r="AF49">
            <v>197.04000000000002</v>
          </cell>
          <cell r="AG49">
            <v>2600.52</v>
          </cell>
        </row>
        <row r="50">
          <cell r="G50" t="str">
            <v>WRAW31</v>
          </cell>
          <cell r="H50" t="str">
            <v>Month</v>
          </cell>
          <cell r="I50" t="e">
            <v>#REF!</v>
          </cell>
          <cell r="J50">
            <v>1200</v>
          </cell>
          <cell r="K50">
            <v>0.5</v>
          </cell>
          <cell r="L50" t="e">
            <v>#REF!</v>
          </cell>
          <cell r="M50">
            <v>21600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row>
        <row r="51">
          <cell r="G51" t="str">
            <v>WRAW32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row>
        <row r="52">
          <cell r="G52" t="str">
            <v>WRAW33</v>
          </cell>
          <cell r="H52" t="str">
            <v>Lumpsum</v>
          </cell>
          <cell r="I52" t="e">
            <v>#REF!</v>
          </cell>
          <cell r="J52">
            <v>1900</v>
          </cell>
          <cell r="K52">
            <v>0.5</v>
          </cell>
          <cell r="L52" t="e">
            <v>#REF!</v>
          </cell>
          <cell r="M52">
            <v>1900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row>
        <row r="53">
          <cell r="G53" t="str">
            <v>WRAW34</v>
          </cell>
          <cell r="H53" t="str">
            <v>Month</v>
          </cell>
          <cell r="I53" t="e">
            <v>#REF!</v>
          </cell>
          <cell r="J53">
            <v>100</v>
          </cell>
          <cell r="K53">
            <v>0.5</v>
          </cell>
          <cell r="L53" t="e">
            <v>#REF!</v>
          </cell>
          <cell r="M53">
            <v>1800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row>
        <row r="54">
          <cell r="G54" t="str">
            <v>WRAW35</v>
          </cell>
          <cell r="H54" t="str">
            <v>Month</v>
          </cell>
          <cell r="I54" t="e">
            <v>#REF!</v>
          </cell>
          <cell r="J54">
            <v>60</v>
          </cell>
          <cell r="K54">
            <v>0.5</v>
          </cell>
          <cell r="L54" t="e">
            <v>#REF!</v>
          </cell>
          <cell r="M54">
            <v>1080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row>
        <row r="55">
          <cell r="G55" t="str">
            <v>WRAW36</v>
          </cell>
          <cell r="H55" t="str">
            <v>Month</v>
          </cell>
          <cell r="I55" t="e">
            <v>#REF!</v>
          </cell>
          <cell r="J55">
            <v>30</v>
          </cell>
          <cell r="K55">
            <v>0.5</v>
          </cell>
          <cell r="L55" t="e">
            <v>#REF!</v>
          </cell>
          <cell r="M55">
            <v>1080</v>
          </cell>
          <cell r="N55">
            <v>3</v>
          </cell>
          <cell r="O55">
            <v>30</v>
          </cell>
          <cell r="P55">
            <v>0.5</v>
          </cell>
          <cell r="Q55">
            <v>45</v>
          </cell>
          <cell r="R55">
            <v>0.5</v>
          </cell>
          <cell r="S55">
            <v>0</v>
          </cell>
          <cell r="T55">
            <v>0</v>
          </cell>
          <cell r="U55">
            <v>0</v>
          </cell>
          <cell r="V55">
            <v>0</v>
          </cell>
          <cell r="W55">
            <v>0</v>
          </cell>
          <cell r="X55">
            <v>0</v>
          </cell>
          <cell r="Y55">
            <v>0</v>
          </cell>
          <cell r="Z55">
            <v>0</v>
          </cell>
          <cell r="AA55">
            <v>59.16</v>
          </cell>
          <cell r="AB55">
            <v>59.16</v>
          </cell>
          <cell r="AC55">
            <v>17.63</v>
          </cell>
          <cell r="AD55">
            <v>0</v>
          </cell>
          <cell r="AE55">
            <v>0</v>
          </cell>
          <cell r="AF55">
            <v>94.17</v>
          </cell>
          <cell r="AG55">
            <v>230.12</v>
          </cell>
        </row>
        <row r="56">
          <cell r="G56" t="str">
            <v>WRAW37</v>
          </cell>
          <cell r="H56" t="str">
            <v>Month</v>
          </cell>
          <cell r="I56" t="e">
            <v>#REF!</v>
          </cell>
          <cell r="J56">
            <v>250</v>
          </cell>
          <cell r="K56">
            <v>0.5</v>
          </cell>
          <cell r="L56" t="e">
            <v>#REF!</v>
          </cell>
          <cell r="M56">
            <v>9000</v>
          </cell>
          <cell r="N56">
            <v>3</v>
          </cell>
          <cell r="O56">
            <v>250</v>
          </cell>
          <cell r="P56">
            <v>0.5</v>
          </cell>
          <cell r="Q56">
            <v>375</v>
          </cell>
          <cell r="R56">
            <v>0.5</v>
          </cell>
          <cell r="S56">
            <v>0</v>
          </cell>
          <cell r="T56">
            <v>0</v>
          </cell>
          <cell r="U56">
            <v>0</v>
          </cell>
          <cell r="V56">
            <v>0</v>
          </cell>
          <cell r="W56">
            <v>280.16000000000003</v>
          </cell>
          <cell r="X56">
            <v>0</v>
          </cell>
          <cell r="Y56">
            <v>146.66</v>
          </cell>
          <cell r="Z56">
            <v>3.35</v>
          </cell>
          <cell r="AA56">
            <v>493.07</v>
          </cell>
          <cell r="AB56">
            <v>923.24</v>
          </cell>
          <cell r="AC56">
            <v>99.41</v>
          </cell>
          <cell r="AD56">
            <v>0</v>
          </cell>
          <cell r="AE56">
            <v>93.02</v>
          </cell>
          <cell r="AF56">
            <v>102.87</v>
          </cell>
          <cell r="AG56">
            <v>2141.7800000000002</v>
          </cell>
        </row>
        <row r="57">
          <cell r="G57" t="str">
            <v>WRAW38</v>
          </cell>
          <cell r="H57" t="str">
            <v>Month</v>
          </cell>
          <cell r="I57" t="e">
            <v>#REF!</v>
          </cell>
          <cell r="J57">
            <v>200</v>
          </cell>
          <cell r="K57">
            <v>0.5</v>
          </cell>
          <cell r="L57" t="e">
            <v>#REF!</v>
          </cell>
          <cell r="M57">
            <v>3600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row>
        <row r="58">
          <cell r="G58" t="str">
            <v>WRAW39</v>
          </cell>
          <cell r="H58" t="str">
            <v>Month</v>
          </cell>
          <cell r="I58" t="e">
            <v>#REF!</v>
          </cell>
          <cell r="J58">
            <v>25</v>
          </cell>
          <cell r="K58">
            <v>0.5</v>
          </cell>
          <cell r="L58" t="e">
            <v>#REF!</v>
          </cell>
          <cell r="M58">
            <v>900</v>
          </cell>
          <cell r="N58">
            <v>3</v>
          </cell>
          <cell r="O58">
            <v>25</v>
          </cell>
          <cell r="P58">
            <v>0.5</v>
          </cell>
          <cell r="Q58">
            <v>37.5</v>
          </cell>
          <cell r="R58">
            <v>0.5</v>
          </cell>
          <cell r="S58">
            <v>0</v>
          </cell>
          <cell r="T58">
            <v>0</v>
          </cell>
          <cell r="U58">
            <v>0</v>
          </cell>
          <cell r="V58">
            <v>0</v>
          </cell>
          <cell r="W58">
            <v>16.09</v>
          </cell>
          <cell r="X58">
            <v>0</v>
          </cell>
          <cell r="Y58">
            <v>0</v>
          </cell>
          <cell r="Z58">
            <v>0</v>
          </cell>
          <cell r="AA58">
            <v>0</v>
          </cell>
          <cell r="AB58">
            <v>16.09</v>
          </cell>
          <cell r="AC58">
            <v>170.4</v>
          </cell>
          <cell r="AD58">
            <v>26.04</v>
          </cell>
          <cell r="AE58">
            <v>0</v>
          </cell>
          <cell r="AF58">
            <v>0</v>
          </cell>
          <cell r="AG58">
            <v>228.62</v>
          </cell>
        </row>
        <row r="59">
          <cell r="G59" t="str">
            <v>WRAW40</v>
          </cell>
          <cell r="H59" t="str">
            <v>Lumpsum</v>
          </cell>
          <cell r="I59" t="e">
            <v>#REF!</v>
          </cell>
          <cell r="J59">
            <v>8000</v>
          </cell>
          <cell r="K59">
            <v>0.5</v>
          </cell>
          <cell r="L59" t="e">
            <v>#REF!</v>
          </cell>
          <cell r="M59">
            <v>16000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row>
        <row r="60">
          <cell r="G60">
            <v>0</v>
          </cell>
          <cell r="H60">
            <v>0</v>
          </cell>
          <cell r="I60">
            <v>0</v>
          </cell>
          <cell r="J60">
            <v>0</v>
          </cell>
          <cell r="K60">
            <v>0</v>
          </cell>
          <cell r="L60" t="e">
            <v>#REF!</v>
          </cell>
          <cell r="M60">
            <v>192209</v>
          </cell>
          <cell r="N60">
            <v>0</v>
          </cell>
          <cell r="O60">
            <v>0</v>
          </cell>
          <cell r="P60">
            <v>0</v>
          </cell>
          <cell r="Q60">
            <v>1506</v>
          </cell>
          <cell r="R60">
            <v>0</v>
          </cell>
          <cell r="S60">
            <v>0</v>
          </cell>
          <cell r="T60">
            <v>0</v>
          </cell>
          <cell r="U60">
            <v>0</v>
          </cell>
          <cell r="V60">
            <v>0</v>
          </cell>
          <cell r="W60">
            <v>0</v>
          </cell>
          <cell r="X60">
            <v>0</v>
          </cell>
          <cell r="Y60">
            <v>1250</v>
          </cell>
          <cell r="Z60">
            <v>2285.65</v>
          </cell>
          <cell r="AA60">
            <v>212.31</v>
          </cell>
          <cell r="AB60">
            <v>3747.96</v>
          </cell>
          <cell r="AC60">
            <v>1798.61</v>
          </cell>
          <cell r="AD60">
            <v>788.4</v>
          </cell>
          <cell r="AE60">
            <v>1314.08</v>
          </cell>
          <cell r="AF60">
            <v>8478.66</v>
          </cell>
          <cell r="AG60">
            <v>19875.670000000002</v>
          </cell>
        </row>
        <row r="61">
          <cell r="G61">
            <v>0</v>
          </cell>
          <cell r="H61">
            <v>0</v>
          </cell>
          <cell r="I61">
            <v>0</v>
          </cell>
          <cell r="J61">
            <v>0</v>
          </cell>
          <cell r="K61">
            <v>0</v>
          </cell>
          <cell r="L61">
            <v>96104.5</v>
          </cell>
          <cell r="M61">
            <v>192209</v>
          </cell>
          <cell r="N61">
            <v>0</v>
          </cell>
          <cell r="O61">
            <v>0</v>
          </cell>
          <cell r="P61">
            <v>0</v>
          </cell>
          <cell r="Q61">
            <v>1506</v>
          </cell>
          <cell r="R61">
            <v>0</v>
          </cell>
          <cell r="S61">
            <v>0</v>
          </cell>
          <cell r="T61">
            <v>0</v>
          </cell>
          <cell r="U61">
            <v>0</v>
          </cell>
          <cell r="V61">
            <v>0</v>
          </cell>
          <cell r="W61">
            <v>0</v>
          </cell>
          <cell r="X61">
            <v>0</v>
          </cell>
          <cell r="Y61">
            <v>1250</v>
          </cell>
          <cell r="Z61">
            <v>2285.65</v>
          </cell>
          <cell r="AA61">
            <v>212.31</v>
          </cell>
          <cell r="AB61">
            <v>3747.96</v>
          </cell>
          <cell r="AC61">
            <v>1798.61</v>
          </cell>
          <cell r="AD61">
            <v>788.4</v>
          </cell>
          <cell r="AE61">
            <v>1314.08</v>
          </cell>
          <cell r="AF61">
            <v>8478.66</v>
          </cell>
          <cell r="AG61">
            <v>19875.670000000002</v>
          </cell>
        </row>
        <row r="62">
          <cell r="G62">
            <v>0</v>
          </cell>
          <cell r="H62">
            <v>0</v>
          </cell>
          <cell r="I62">
            <v>0</v>
          </cell>
          <cell r="J62">
            <v>0</v>
          </cell>
          <cell r="K62">
            <v>0</v>
          </cell>
          <cell r="L62" t="e">
            <v>#REF!</v>
          </cell>
          <cell r="M62">
            <v>23642</v>
          </cell>
          <cell r="N62">
            <v>0</v>
          </cell>
          <cell r="O62">
            <v>0</v>
          </cell>
          <cell r="P62">
            <v>0</v>
          </cell>
          <cell r="Q62">
            <v>1056</v>
          </cell>
          <cell r="R62">
            <v>0</v>
          </cell>
          <cell r="S62">
            <v>0</v>
          </cell>
          <cell r="T62">
            <v>0</v>
          </cell>
          <cell r="U62">
            <v>0</v>
          </cell>
          <cell r="V62">
            <v>0</v>
          </cell>
          <cell r="W62">
            <v>0</v>
          </cell>
          <cell r="X62">
            <v>0</v>
          </cell>
          <cell r="Y62">
            <v>0</v>
          </cell>
          <cell r="Z62">
            <v>0</v>
          </cell>
          <cell r="AA62">
            <v>0</v>
          </cell>
          <cell r="AB62">
            <v>0</v>
          </cell>
          <cell r="AC62">
            <v>0</v>
          </cell>
          <cell r="AD62">
            <v>488.4</v>
          </cell>
          <cell r="AE62">
            <v>0</v>
          </cell>
          <cell r="AF62">
            <v>0</v>
          </cell>
          <cell r="AG62">
            <v>488.4</v>
          </cell>
        </row>
        <row r="63">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row>
        <row r="64">
          <cell r="G64" t="str">
            <v>WRAW41</v>
          </cell>
          <cell r="H64" t="str">
            <v>Lumpsum</v>
          </cell>
          <cell r="I64" t="e">
            <v>#REF!</v>
          </cell>
          <cell r="J64">
            <v>1056</v>
          </cell>
          <cell r="K64">
            <v>0.5</v>
          </cell>
          <cell r="L64" t="e">
            <v>#REF!</v>
          </cell>
          <cell r="M64">
            <v>5280</v>
          </cell>
          <cell r="N64">
            <v>1</v>
          </cell>
          <cell r="O64">
            <v>1056</v>
          </cell>
          <cell r="P64">
            <v>0.5</v>
          </cell>
          <cell r="Q64">
            <v>528</v>
          </cell>
          <cell r="R64">
            <v>0.5</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row>
        <row r="65">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row>
        <row r="66">
          <cell r="G66" t="str">
            <v>WRAW42</v>
          </cell>
          <cell r="H66" t="str">
            <v>Lumpsum</v>
          </cell>
          <cell r="I66" t="e">
            <v>#REF!</v>
          </cell>
          <cell r="J66">
            <v>1056</v>
          </cell>
          <cell r="K66">
            <v>0.5</v>
          </cell>
          <cell r="L66" t="e">
            <v>#REF!</v>
          </cell>
          <cell r="M66">
            <v>2112</v>
          </cell>
          <cell r="N66">
            <v>1</v>
          </cell>
          <cell r="O66">
            <v>1056</v>
          </cell>
          <cell r="P66">
            <v>0.5</v>
          </cell>
          <cell r="Q66">
            <v>528</v>
          </cell>
          <cell r="R66">
            <v>0.5</v>
          </cell>
          <cell r="S66">
            <v>0</v>
          </cell>
          <cell r="T66">
            <v>0</v>
          </cell>
          <cell r="U66">
            <v>0</v>
          </cell>
          <cell r="V66">
            <v>0</v>
          </cell>
          <cell r="W66">
            <v>0</v>
          </cell>
          <cell r="X66">
            <v>0</v>
          </cell>
          <cell r="Y66">
            <v>0</v>
          </cell>
          <cell r="Z66">
            <v>0</v>
          </cell>
          <cell r="AA66">
            <v>0</v>
          </cell>
          <cell r="AB66">
            <v>0</v>
          </cell>
          <cell r="AC66">
            <v>0</v>
          </cell>
          <cell r="AD66">
            <v>488.4</v>
          </cell>
          <cell r="AE66">
            <v>0</v>
          </cell>
          <cell r="AF66">
            <v>0</v>
          </cell>
          <cell r="AG66">
            <v>488.4</v>
          </cell>
        </row>
        <row r="67">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row>
        <row r="68">
          <cell r="G68" t="str">
            <v>WRAW43</v>
          </cell>
          <cell r="H68" t="str">
            <v>Lumpsum</v>
          </cell>
          <cell r="I68" t="e">
            <v>#REF!</v>
          </cell>
          <cell r="J68">
            <v>6250</v>
          </cell>
          <cell r="K68">
            <v>0.5</v>
          </cell>
          <cell r="L68" t="e">
            <v>#REF!</v>
          </cell>
          <cell r="M68">
            <v>6250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row>
        <row r="69">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row>
        <row r="70">
          <cell r="G70" t="str">
            <v>WRAW44</v>
          </cell>
          <cell r="H70" t="str">
            <v>Lumpsum</v>
          </cell>
          <cell r="I70" t="e">
            <v>#REF!</v>
          </cell>
          <cell r="J70">
            <v>10000</v>
          </cell>
          <cell r="K70">
            <v>0.5</v>
          </cell>
          <cell r="L70" t="e">
            <v>#REF!</v>
          </cell>
          <cell r="M70">
            <v>10000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row>
        <row r="71">
          <cell r="G71">
            <v>0</v>
          </cell>
          <cell r="H71">
            <v>0</v>
          </cell>
          <cell r="I71">
            <v>0</v>
          </cell>
          <cell r="J71">
            <v>0</v>
          </cell>
          <cell r="K71">
            <v>0</v>
          </cell>
          <cell r="L71" t="e">
            <v>#REF!</v>
          </cell>
          <cell r="M71">
            <v>27062</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row>
        <row r="72">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row>
        <row r="73">
          <cell r="G73" t="str">
            <v>WRAW45</v>
          </cell>
          <cell r="H73" t="str">
            <v>Lumpsum</v>
          </cell>
          <cell r="I73" t="e">
            <v>#REF!</v>
          </cell>
          <cell r="J73">
            <v>900</v>
          </cell>
          <cell r="K73">
            <v>0.5</v>
          </cell>
          <cell r="L73" t="e">
            <v>#REF!</v>
          </cell>
          <cell r="M73">
            <v>1800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row>
        <row r="74">
          <cell r="G74" t="str">
            <v>WRAW46</v>
          </cell>
          <cell r="H74" t="str">
            <v>Lumpsum</v>
          </cell>
          <cell r="I74" t="e">
            <v>#REF!</v>
          </cell>
          <cell r="J74">
            <v>4300</v>
          </cell>
          <cell r="K74">
            <v>0.5</v>
          </cell>
          <cell r="L74" t="e">
            <v>#REF!</v>
          </cell>
          <cell r="M74">
            <v>8600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row>
        <row r="75">
          <cell r="G75" t="str">
            <v>WRAW47</v>
          </cell>
          <cell r="H75" t="str">
            <v>Lumpsum</v>
          </cell>
          <cell r="I75" t="e">
            <v>#REF!</v>
          </cell>
          <cell r="J75">
            <v>2088</v>
          </cell>
          <cell r="K75">
            <v>0.5</v>
          </cell>
          <cell r="L75" t="e">
            <v>#REF!</v>
          </cell>
          <cell r="M75">
            <v>2088</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row>
        <row r="76">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row>
        <row r="77">
          <cell r="G77" t="str">
            <v>WRAW48</v>
          </cell>
          <cell r="H77" t="str">
            <v>Lumpsum</v>
          </cell>
          <cell r="I77" t="e">
            <v>#REF!</v>
          </cell>
          <cell r="J77">
            <v>1056</v>
          </cell>
          <cell r="K77">
            <v>0.5</v>
          </cell>
          <cell r="L77" t="e">
            <v>#REF!</v>
          </cell>
          <cell r="M77">
            <v>2112</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row>
        <row r="78">
          <cell r="G78" t="str">
            <v>WRAW49</v>
          </cell>
          <cell r="H78" t="str">
            <v>Lumpsum</v>
          </cell>
          <cell r="I78" t="e">
            <v>#REF!</v>
          </cell>
          <cell r="J78">
            <v>5673</v>
          </cell>
          <cell r="K78">
            <v>0.5</v>
          </cell>
          <cell r="L78" t="e">
            <v>#REF!</v>
          </cell>
          <cell r="M78">
            <v>5673</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row>
        <row r="79">
          <cell r="G79" t="str">
            <v>WRAW50</v>
          </cell>
          <cell r="H79" t="str">
            <v>Lumpsum</v>
          </cell>
          <cell r="I79" t="e">
            <v>#REF!</v>
          </cell>
          <cell r="J79">
            <v>1500</v>
          </cell>
          <cell r="K79">
            <v>0.5</v>
          </cell>
          <cell r="L79" t="e">
            <v>#REF!</v>
          </cell>
          <cell r="M79">
            <v>1500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row>
        <row r="80">
          <cell r="G80" t="str">
            <v>WRAW51</v>
          </cell>
          <cell r="H80" t="str">
            <v>Lumpsum</v>
          </cell>
          <cell r="I80" t="e">
            <v>#REF!</v>
          </cell>
          <cell r="J80">
            <v>1763</v>
          </cell>
          <cell r="K80">
            <v>0.5</v>
          </cell>
          <cell r="L80" t="e">
            <v>#REF!</v>
          </cell>
          <cell r="M80">
            <v>5289</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G81">
            <v>0</v>
          </cell>
          <cell r="H81">
            <v>0</v>
          </cell>
          <cell r="I81">
            <v>0</v>
          </cell>
          <cell r="J81">
            <v>0</v>
          </cell>
          <cell r="K81">
            <v>0</v>
          </cell>
          <cell r="L81" t="e">
            <v>#REF!</v>
          </cell>
          <cell r="M81">
            <v>53119</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row>
        <row r="82">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row>
        <row r="83">
          <cell r="G83" t="str">
            <v>WRAW52</v>
          </cell>
          <cell r="H83" t="str">
            <v>Lumpsum</v>
          </cell>
          <cell r="I83" t="e">
            <v>#REF!</v>
          </cell>
          <cell r="J83">
            <v>1100</v>
          </cell>
          <cell r="K83">
            <v>0.5</v>
          </cell>
          <cell r="L83" t="e">
            <v>#REF!</v>
          </cell>
          <cell r="M83">
            <v>1100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row>
        <row r="84">
          <cell r="G84" t="str">
            <v>WRAW53</v>
          </cell>
          <cell r="H84" t="str">
            <v>Lumpsum</v>
          </cell>
          <cell r="I84" t="e">
            <v>#REF!</v>
          </cell>
          <cell r="J84">
            <v>2000</v>
          </cell>
          <cell r="K84">
            <v>0.5</v>
          </cell>
          <cell r="L84" t="e">
            <v>#REF!</v>
          </cell>
          <cell r="M84">
            <v>4000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row>
        <row r="85">
          <cell r="G85" t="str">
            <v>WRAW54</v>
          </cell>
          <cell r="H85" t="str">
            <v>Lumpsum</v>
          </cell>
          <cell r="I85" t="e">
            <v>#REF!</v>
          </cell>
          <cell r="J85">
            <v>5000</v>
          </cell>
          <cell r="K85">
            <v>0.5</v>
          </cell>
          <cell r="L85" t="e">
            <v>#REF!</v>
          </cell>
          <cell r="M85">
            <v>15000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row>
        <row r="86">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row>
        <row r="87">
          <cell r="G87" t="str">
            <v>WRAW55</v>
          </cell>
          <cell r="H87" t="str">
            <v>Number</v>
          </cell>
          <cell r="I87" t="e">
            <v>#REF!</v>
          </cell>
          <cell r="J87">
            <v>6500</v>
          </cell>
          <cell r="K87">
            <v>0.5</v>
          </cell>
          <cell r="L87" t="e">
            <v>#REF!</v>
          </cell>
          <cell r="M87">
            <v>13000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row>
        <row r="88">
          <cell r="G88" t="str">
            <v>WRAW56</v>
          </cell>
          <cell r="H88" t="str">
            <v>Number</v>
          </cell>
          <cell r="I88" t="e">
            <v>#REF!</v>
          </cell>
          <cell r="J88">
            <v>6500</v>
          </cell>
          <cell r="K88">
            <v>0.5</v>
          </cell>
          <cell r="L88" t="e">
            <v>#REF!</v>
          </cell>
          <cell r="M88">
            <v>13000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row>
        <row r="89">
          <cell r="G89" t="str">
            <v>WRAW57</v>
          </cell>
          <cell r="H89" t="str">
            <v>Lumpsum</v>
          </cell>
          <cell r="I89" t="e">
            <v>#REF!</v>
          </cell>
          <cell r="J89">
            <v>1763</v>
          </cell>
          <cell r="K89">
            <v>0.5</v>
          </cell>
          <cell r="L89" t="e">
            <v>#REF!</v>
          </cell>
          <cell r="M89">
            <v>1763</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row>
        <row r="90">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row>
        <row r="91">
          <cell r="G91" t="str">
            <v>WRAW58</v>
          </cell>
          <cell r="H91" t="str">
            <v>Lumpsum</v>
          </cell>
          <cell r="I91" t="e">
            <v>#REF!</v>
          </cell>
          <cell r="J91">
            <v>5256</v>
          </cell>
          <cell r="K91">
            <v>0.5</v>
          </cell>
          <cell r="L91" t="e">
            <v>#REF!</v>
          </cell>
          <cell r="M91">
            <v>5256</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row>
        <row r="92">
          <cell r="G92">
            <v>0</v>
          </cell>
          <cell r="H92">
            <v>0</v>
          </cell>
          <cell r="I92">
            <v>0</v>
          </cell>
          <cell r="J92">
            <v>0</v>
          </cell>
          <cell r="K92">
            <v>0</v>
          </cell>
          <cell r="L92" t="e">
            <v>#REF!</v>
          </cell>
          <cell r="M92">
            <v>14112</v>
          </cell>
          <cell r="N92">
            <v>0</v>
          </cell>
          <cell r="O92">
            <v>0</v>
          </cell>
          <cell r="P92">
            <v>0</v>
          </cell>
          <cell r="Q92">
            <v>450</v>
          </cell>
          <cell r="R92">
            <v>0</v>
          </cell>
          <cell r="S92">
            <v>0</v>
          </cell>
          <cell r="T92">
            <v>0</v>
          </cell>
          <cell r="U92">
            <v>0</v>
          </cell>
          <cell r="V92">
            <v>0</v>
          </cell>
          <cell r="W92">
            <v>0</v>
          </cell>
          <cell r="X92">
            <v>0</v>
          </cell>
          <cell r="Y92">
            <v>0</v>
          </cell>
          <cell r="Z92">
            <v>1000</v>
          </cell>
          <cell r="AA92">
            <v>0</v>
          </cell>
          <cell r="AB92">
            <v>1000</v>
          </cell>
          <cell r="AC92">
            <v>0</v>
          </cell>
          <cell r="AD92">
            <v>0</v>
          </cell>
          <cell r="AE92">
            <v>436.64</v>
          </cell>
          <cell r="AF92">
            <v>1595.59</v>
          </cell>
          <cell r="AG92">
            <v>4032.23</v>
          </cell>
        </row>
        <row r="93">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row>
        <row r="94">
          <cell r="G94" t="str">
            <v>WRAW59</v>
          </cell>
          <cell r="H94" t="str">
            <v>Lumpsum</v>
          </cell>
          <cell r="I94" t="e">
            <v>#REF!</v>
          </cell>
          <cell r="J94">
            <v>900</v>
          </cell>
          <cell r="K94">
            <v>0.5</v>
          </cell>
          <cell r="L94" t="e">
            <v>#REF!</v>
          </cell>
          <cell r="M94">
            <v>1800</v>
          </cell>
          <cell r="N94">
            <v>1</v>
          </cell>
          <cell r="O94">
            <v>900</v>
          </cell>
          <cell r="P94">
            <v>0.5</v>
          </cell>
          <cell r="Q94">
            <v>450</v>
          </cell>
          <cell r="R94">
            <v>0.5</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row>
        <row r="95">
          <cell r="G95" t="str">
            <v>WRAW60</v>
          </cell>
          <cell r="H95" t="str">
            <v>Lumpsum</v>
          </cell>
          <cell r="I95" t="e">
            <v>#REF!</v>
          </cell>
          <cell r="J95">
            <v>2088</v>
          </cell>
          <cell r="K95">
            <v>0.5</v>
          </cell>
          <cell r="L95" t="e">
            <v>#REF!</v>
          </cell>
          <cell r="M95">
            <v>2088</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row>
        <row r="96">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row>
        <row r="97">
          <cell r="G97" t="str">
            <v>WRAW61</v>
          </cell>
          <cell r="H97" t="str">
            <v>Lumpsum</v>
          </cell>
          <cell r="I97" t="e">
            <v>#REF!</v>
          </cell>
          <cell r="J97">
            <v>1056</v>
          </cell>
          <cell r="K97">
            <v>0.5</v>
          </cell>
          <cell r="L97" t="e">
            <v>#REF!</v>
          </cell>
          <cell r="M97">
            <v>2112</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436.64</v>
          </cell>
          <cell r="AF97">
            <v>1539.09</v>
          </cell>
          <cell r="AG97">
            <v>1975.73</v>
          </cell>
        </row>
        <row r="98">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row>
        <row r="99">
          <cell r="G99" t="str">
            <v>WRAW62</v>
          </cell>
          <cell r="H99" t="str">
            <v>Lumpsum</v>
          </cell>
          <cell r="I99" t="e">
            <v>#REF!</v>
          </cell>
          <cell r="J99">
            <v>2000</v>
          </cell>
          <cell r="K99">
            <v>0.5</v>
          </cell>
          <cell r="L99" t="e">
            <v>#REF!</v>
          </cell>
          <cell r="M99">
            <v>6000</v>
          </cell>
          <cell r="N99">
            <v>0</v>
          </cell>
          <cell r="O99">
            <v>0</v>
          </cell>
          <cell r="P99">
            <v>0</v>
          </cell>
          <cell r="Q99">
            <v>0</v>
          </cell>
          <cell r="R99">
            <v>0</v>
          </cell>
          <cell r="S99">
            <v>0</v>
          </cell>
          <cell r="T99">
            <v>0</v>
          </cell>
          <cell r="U99">
            <v>0</v>
          </cell>
          <cell r="V99">
            <v>0</v>
          </cell>
          <cell r="W99">
            <v>0</v>
          </cell>
          <cell r="X99">
            <v>0</v>
          </cell>
          <cell r="Y99">
            <v>0</v>
          </cell>
          <cell r="Z99">
            <v>1000</v>
          </cell>
          <cell r="AA99">
            <v>0</v>
          </cell>
          <cell r="AB99">
            <v>1000</v>
          </cell>
          <cell r="AC99">
            <v>0</v>
          </cell>
          <cell r="AD99">
            <v>0</v>
          </cell>
          <cell r="AE99">
            <v>0</v>
          </cell>
          <cell r="AF99">
            <v>56.5</v>
          </cell>
          <cell r="AG99">
            <v>2056.5</v>
          </cell>
        </row>
        <row r="100">
          <cell r="G100" t="str">
            <v>WRAW63</v>
          </cell>
          <cell r="H100" t="str">
            <v>Lumpsum</v>
          </cell>
          <cell r="I100" t="e">
            <v>#REF!</v>
          </cell>
          <cell r="J100">
            <v>1056</v>
          </cell>
          <cell r="K100">
            <v>0.5</v>
          </cell>
          <cell r="L100" t="e">
            <v>#REF!</v>
          </cell>
          <cell r="M100">
            <v>2112</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row>
        <row r="101">
          <cell r="G101">
            <v>0</v>
          </cell>
          <cell r="H101">
            <v>0</v>
          </cell>
          <cell r="I101">
            <v>0</v>
          </cell>
          <cell r="J101">
            <v>0</v>
          </cell>
          <cell r="K101">
            <v>0</v>
          </cell>
          <cell r="L101" t="e">
            <v>#REF!</v>
          </cell>
          <cell r="M101">
            <v>19900</v>
          </cell>
          <cell r="N101">
            <v>0</v>
          </cell>
          <cell r="O101">
            <v>0</v>
          </cell>
          <cell r="P101">
            <v>0</v>
          </cell>
          <cell r="Q101">
            <v>0</v>
          </cell>
          <cell r="R101">
            <v>0</v>
          </cell>
          <cell r="S101">
            <v>0</v>
          </cell>
          <cell r="T101">
            <v>0</v>
          </cell>
          <cell r="U101">
            <v>0</v>
          </cell>
          <cell r="V101">
            <v>0</v>
          </cell>
          <cell r="W101">
            <v>0</v>
          </cell>
          <cell r="X101">
            <v>0</v>
          </cell>
          <cell r="Y101">
            <v>1250</v>
          </cell>
          <cell r="Z101">
            <v>985.65</v>
          </cell>
          <cell r="AA101">
            <v>0</v>
          </cell>
          <cell r="AB101">
            <v>2235.65</v>
          </cell>
          <cell r="AC101">
            <v>0</v>
          </cell>
          <cell r="AD101">
            <v>0</v>
          </cell>
          <cell r="AE101">
            <v>0</v>
          </cell>
          <cell r="AF101">
            <v>0</v>
          </cell>
          <cell r="AG101">
            <v>4471.3</v>
          </cell>
        </row>
        <row r="102">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row>
        <row r="103">
          <cell r="G103" t="str">
            <v>WRAW64</v>
          </cell>
          <cell r="H103" t="str">
            <v>Lumpsum</v>
          </cell>
          <cell r="I103" t="e">
            <v>#REF!</v>
          </cell>
          <cell r="J103">
            <v>1000</v>
          </cell>
          <cell r="K103">
            <v>0.5</v>
          </cell>
          <cell r="L103" t="e">
            <v>#REF!</v>
          </cell>
          <cell r="M103">
            <v>1000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row>
        <row r="104">
          <cell r="G104" t="str">
            <v>WRAW65</v>
          </cell>
          <cell r="H104" t="str">
            <v>Month</v>
          </cell>
          <cell r="I104" t="e">
            <v>#REF!</v>
          </cell>
          <cell r="J104">
            <v>100</v>
          </cell>
          <cell r="K104">
            <v>0.5</v>
          </cell>
          <cell r="L104" t="e">
            <v>#REF!</v>
          </cell>
          <cell r="M104">
            <v>2400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row>
        <row r="105">
          <cell r="G105" t="str">
            <v>WRAW66</v>
          </cell>
          <cell r="H105" t="str">
            <v>Lumpsum</v>
          </cell>
          <cell r="I105" t="e">
            <v>#REF!</v>
          </cell>
          <cell r="J105">
            <v>500</v>
          </cell>
          <cell r="K105">
            <v>0.5</v>
          </cell>
          <cell r="L105" t="e">
            <v>#REF!</v>
          </cell>
          <cell r="M105">
            <v>500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row>
        <row r="106">
          <cell r="G106" t="str">
            <v>WRAW67</v>
          </cell>
          <cell r="H106" t="str">
            <v>Lumpsum</v>
          </cell>
          <cell r="I106" t="e">
            <v>#REF!</v>
          </cell>
          <cell r="J106">
            <v>500</v>
          </cell>
          <cell r="K106">
            <v>0.5</v>
          </cell>
          <cell r="L106" t="e">
            <v>#REF!</v>
          </cell>
          <cell r="M106">
            <v>1000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row>
        <row r="107">
          <cell r="G107" t="str">
            <v>WRAW68</v>
          </cell>
          <cell r="H107" t="str">
            <v>Lumpsum</v>
          </cell>
          <cell r="I107" t="e">
            <v>#REF!</v>
          </cell>
          <cell r="J107">
            <v>5000</v>
          </cell>
          <cell r="K107">
            <v>0.5</v>
          </cell>
          <cell r="L107" t="e">
            <v>#REF!</v>
          </cell>
          <cell r="M107">
            <v>15000</v>
          </cell>
          <cell r="N107">
            <v>0</v>
          </cell>
          <cell r="O107">
            <v>0</v>
          </cell>
          <cell r="P107">
            <v>0</v>
          </cell>
          <cell r="Q107">
            <v>0</v>
          </cell>
          <cell r="R107">
            <v>0</v>
          </cell>
          <cell r="S107">
            <v>0</v>
          </cell>
          <cell r="T107">
            <v>0</v>
          </cell>
          <cell r="U107">
            <v>0</v>
          </cell>
          <cell r="V107">
            <v>0</v>
          </cell>
          <cell r="W107">
            <v>0</v>
          </cell>
          <cell r="X107">
            <v>0</v>
          </cell>
          <cell r="Y107">
            <v>1250</v>
          </cell>
          <cell r="Z107">
            <v>985.65</v>
          </cell>
          <cell r="AA107">
            <v>0</v>
          </cell>
          <cell r="AB107">
            <v>2235.65</v>
          </cell>
          <cell r="AC107">
            <v>0</v>
          </cell>
          <cell r="AD107">
            <v>0</v>
          </cell>
          <cell r="AE107">
            <v>0</v>
          </cell>
          <cell r="AF107">
            <v>0</v>
          </cell>
          <cell r="AG107">
            <v>4471.3</v>
          </cell>
        </row>
        <row r="108">
          <cell r="G108">
            <v>0</v>
          </cell>
          <cell r="H108">
            <v>0</v>
          </cell>
          <cell r="I108">
            <v>0</v>
          </cell>
          <cell r="J108">
            <v>0</v>
          </cell>
          <cell r="K108">
            <v>0</v>
          </cell>
          <cell r="L108" t="e">
            <v>#REF!</v>
          </cell>
          <cell r="M108">
            <v>14374</v>
          </cell>
          <cell r="N108">
            <v>0</v>
          </cell>
          <cell r="O108">
            <v>0</v>
          </cell>
          <cell r="P108">
            <v>0</v>
          </cell>
          <cell r="Q108">
            <v>0</v>
          </cell>
          <cell r="R108">
            <v>0</v>
          </cell>
          <cell r="S108">
            <v>0</v>
          </cell>
          <cell r="T108">
            <v>0</v>
          </cell>
          <cell r="U108">
            <v>0</v>
          </cell>
          <cell r="V108">
            <v>0</v>
          </cell>
          <cell r="W108">
            <v>0</v>
          </cell>
          <cell r="X108">
            <v>0</v>
          </cell>
          <cell r="Y108">
            <v>0</v>
          </cell>
          <cell r="Z108">
            <v>300</v>
          </cell>
          <cell r="AA108">
            <v>212.31</v>
          </cell>
          <cell r="AB108">
            <v>512.30999999999995</v>
          </cell>
          <cell r="AC108">
            <v>1798.61</v>
          </cell>
          <cell r="AD108">
            <v>300</v>
          </cell>
          <cell r="AE108">
            <v>17.440000000000001</v>
          </cell>
          <cell r="AF108">
            <v>276.18</v>
          </cell>
          <cell r="AG108">
            <v>3416.85</v>
          </cell>
        </row>
        <row r="109">
          <cell r="G109" t="str">
            <v>WRAW69</v>
          </cell>
          <cell r="H109" t="str">
            <v>Lumpsum</v>
          </cell>
          <cell r="I109" t="e">
            <v>#REF!</v>
          </cell>
          <cell r="J109">
            <v>1458</v>
          </cell>
          <cell r="K109">
            <v>0.5</v>
          </cell>
          <cell r="L109" t="e">
            <v>#REF!</v>
          </cell>
          <cell r="M109">
            <v>4374</v>
          </cell>
          <cell r="N109">
            <v>0</v>
          </cell>
          <cell r="O109">
            <v>0</v>
          </cell>
          <cell r="P109">
            <v>0</v>
          </cell>
          <cell r="Q109">
            <v>0</v>
          </cell>
          <cell r="R109">
            <v>0</v>
          </cell>
          <cell r="S109">
            <v>0</v>
          </cell>
          <cell r="T109">
            <v>0</v>
          </cell>
          <cell r="U109">
            <v>0</v>
          </cell>
          <cell r="V109">
            <v>0</v>
          </cell>
          <cell r="W109">
            <v>0</v>
          </cell>
          <cell r="X109">
            <v>0</v>
          </cell>
          <cell r="Y109">
            <v>0</v>
          </cell>
          <cell r="Z109">
            <v>300</v>
          </cell>
          <cell r="AA109">
            <v>212.31</v>
          </cell>
          <cell r="AB109">
            <v>512.30999999999995</v>
          </cell>
          <cell r="AC109">
            <v>120</v>
          </cell>
          <cell r="AD109">
            <v>300</v>
          </cell>
          <cell r="AE109">
            <v>17.440000000000001</v>
          </cell>
          <cell r="AF109">
            <v>0</v>
          </cell>
          <cell r="AG109">
            <v>1462.06</v>
          </cell>
        </row>
        <row r="110">
          <cell r="G110" t="str">
            <v>WRAW70</v>
          </cell>
          <cell r="H110" t="str">
            <v>Lumpsum</v>
          </cell>
          <cell r="I110" t="e">
            <v>#REF!</v>
          </cell>
          <cell r="J110">
            <v>3333.3333333333335</v>
          </cell>
          <cell r="K110">
            <v>0.5</v>
          </cell>
          <cell r="L110" t="e">
            <v>#REF!</v>
          </cell>
          <cell r="M110">
            <v>10000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1678.61</v>
          </cell>
          <cell r="AD110">
            <v>0</v>
          </cell>
          <cell r="AE110">
            <v>0</v>
          </cell>
          <cell r="AF110">
            <v>276.18</v>
          </cell>
          <cell r="AG110">
            <v>1954.79</v>
          </cell>
        </row>
        <row r="111">
          <cell r="G111">
            <v>0</v>
          </cell>
          <cell r="H111">
            <v>0</v>
          </cell>
          <cell r="I111">
            <v>0</v>
          </cell>
          <cell r="J111">
            <v>0</v>
          </cell>
          <cell r="K111">
            <v>0</v>
          </cell>
          <cell r="L111" t="e">
            <v>#REF!</v>
          </cell>
          <cell r="M111">
            <v>40000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860</v>
          </cell>
          <cell r="AF111">
            <v>6606.89</v>
          </cell>
          <cell r="AG111">
            <v>7466.89</v>
          </cell>
        </row>
        <row r="112">
          <cell r="G112" t="str">
            <v>WRAW71</v>
          </cell>
          <cell r="H112" t="str">
            <v>Lumpsum</v>
          </cell>
          <cell r="I112" t="e">
            <v>#REF!</v>
          </cell>
          <cell r="J112">
            <v>13333.333333333334</v>
          </cell>
          <cell r="K112">
            <v>0.5</v>
          </cell>
          <cell r="L112" t="e">
            <v>#REF!</v>
          </cell>
          <cell r="M112">
            <v>40000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860</v>
          </cell>
          <cell r="AF112">
            <v>6606.89</v>
          </cell>
          <cell r="AG112">
            <v>7466.89</v>
          </cell>
        </row>
        <row r="113">
          <cell r="G113">
            <v>0</v>
          </cell>
          <cell r="H113">
            <v>0</v>
          </cell>
          <cell r="I113">
            <v>0</v>
          </cell>
          <cell r="J113">
            <v>0</v>
          </cell>
          <cell r="K113">
            <v>0</v>
          </cell>
          <cell r="L113" t="e">
            <v>#REF!</v>
          </cell>
          <cell r="M113">
            <v>595619</v>
          </cell>
          <cell r="N113">
            <v>0</v>
          </cell>
          <cell r="O113">
            <v>0</v>
          </cell>
          <cell r="P113">
            <v>0</v>
          </cell>
          <cell r="Q113">
            <v>31293</v>
          </cell>
          <cell r="R113">
            <v>0</v>
          </cell>
          <cell r="S113">
            <v>0</v>
          </cell>
          <cell r="T113">
            <v>0</v>
          </cell>
          <cell r="U113">
            <v>0</v>
          </cell>
          <cell r="V113">
            <v>2112.81</v>
          </cell>
          <cell r="W113">
            <v>3347.41</v>
          </cell>
          <cell r="X113">
            <v>5372.8899999999994</v>
          </cell>
          <cell r="Y113">
            <v>5691.6799999999994</v>
          </cell>
          <cell r="Z113">
            <v>6839</v>
          </cell>
          <cell r="AA113">
            <v>8449.2999999999993</v>
          </cell>
          <cell r="AB113">
            <v>31366.83</v>
          </cell>
          <cell r="AC113">
            <v>6844.9199999999992</v>
          </cell>
          <cell r="AD113">
            <v>11675.94</v>
          </cell>
          <cell r="AE113">
            <v>7587.079999999999</v>
          </cell>
          <cell r="AF113">
            <v>13555.41</v>
          </cell>
          <cell r="AG113">
            <v>103289.53</v>
          </cell>
        </row>
        <row r="114">
          <cell r="G114">
            <v>0</v>
          </cell>
          <cell r="H114">
            <v>0</v>
          </cell>
          <cell r="I114">
            <v>0</v>
          </cell>
          <cell r="J114">
            <v>0</v>
          </cell>
          <cell r="K114">
            <v>0</v>
          </cell>
          <cell r="L114" t="e">
            <v>#REF!</v>
          </cell>
          <cell r="M114">
            <v>35737.14</v>
          </cell>
          <cell r="N114">
            <v>0</v>
          </cell>
          <cell r="O114">
            <v>0</v>
          </cell>
          <cell r="P114">
            <v>0</v>
          </cell>
          <cell r="Q114">
            <v>1877.58</v>
          </cell>
          <cell r="R114">
            <v>0</v>
          </cell>
          <cell r="S114">
            <v>0</v>
          </cell>
          <cell r="T114">
            <v>0</v>
          </cell>
          <cell r="U114">
            <v>0</v>
          </cell>
          <cell r="V114">
            <v>126.76859999999999</v>
          </cell>
          <cell r="W114">
            <v>200.84459999999999</v>
          </cell>
          <cell r="X114">
            <v>322.37339999999995</v>
          </cell>
          <cell r="Y114">
            <v>341.50079999999997</v>
          </cell>
          <cell r="Z114">
            <v>410.34</v>
          </cell>
          <cell r="AA114">
            <v>506.95799999999991</v>
          </cell>
          <cell r="AB114">
            <v>1882.0098</v>
          </cell>
          <cell r="AC114">
            <v>410.69519999999994</v>
          </cell>
          <cell r="AD114">
            <v>700.55640000000005</v>
          </cell>
          <cell r="AE114">
            <v>455.2247999999999</v>
          </cell>
          <cell r="AF114">
            <v>813.32459999999992</v>
          </cell>
          <cell r="AG114">
            <v>6197.3717999999999</v>
          </cell>
        </row>
        <row r="115">
          <cell r="G115">
            <v>0</v>
          </cell>
          <cell r="H115">
            <v>0</v>
          </cell>
          <cell r="I115">
            <v>0</v>
          </cell>
          <cell r="J115">
            <v>0</v>
          </cell>
          <cell r="K115">
            <v>0</v>
          </cell>
          <cell r="L115" t="e">
            <v>#REF!</v>
          </cell>
          <cell r="M115">
            <v>631356.14</v>
          </cell>
          <cell r="N115">
            <v>0</v>
          </cell>
          <cell r="O115">
            <v>0</v>
          </cell>
          <cell r="P115">
            <v>0</v>
          </cell>
          <cell r="Q115">
            <v>33170.58</v>
          </cell>
          <cell r="R115">
            <v>0</v>
          </cell>
          <cell r="S115">
            <v>0</v>
          </cell>
          <cell r="T115">
            <v>0</v>
          </cell>
          <cell r="U115">
            <v>0</v>
          </cell>
          <cell r="V115">
            <v>2239.5785999999998</v>
          </cell>
          <cell r="W115">
            <v>3548.2545999999998</v>
          </cell>
          <cell r="X115">
            <v>5695.2633999999998</v>
          </cell>
          <cell r="Y115">
            <v>6033.1807999999992</v>
          </cell>
          <cell r="Z115">
            <v>7249.34</v>
          </cell>
          <cell r="AA115">
            <v>8956.2579999999998</v>
          </cell>
          <cell r="AB115">
            <v>33248.839800000002</v>
          </cell>
          <cell r="AC115">
            <v>7255.6151999999993</v>
          </cell>
          <cell r="AD115">
            <v>12376.4964</v>
          </cell>
          <cell r="AE115">
            <v>8042.304799999999</v>
          </cell>
          <cell r="AF115">
            <v>14368.7346</v>
          </cell>
          <cell r="AG115">
            <v>109486.90179999999</v>
          </cell>
        </row>
        <row r="116">
          <cell r="G116">
            <v>0</v>
          </cell>
          <cell r="H116">
            <v>0</v>
          </cell>
          <cell r="I116">
            <v>0</v>
          </cell>
          <cell r="J116">
            <v>0</v>
          </cell>
          <cell r="K116">
            <v>0</v>
          </cell>
          <cell r="L116">
            <v>0</v>
          </cell>
          <cell r="M116">
            <v>391425.67</v>
          </cell>
          <cell r="N116">
            <v>0</v>
          </cell>
          <cell r="O116">
            <v>0</v>
          </cell>
          <cell r="P116">
            <v>0</v>
          </cell>
          <cell r="Q116">
            <v>33170.58</v>
          </cell>
          <cell r="R116">
            <v>0</v>
          </cell>
          <cell r="S116">
            <v>0</v>
          </cell>
          <cell r="T116">
            <v>0</v>
          </cell>
          <cell r="U116">
            <v>0</v>
          </cell>
          <cell r="V116">
            <v>2239.5785999999998</v>
          </cell>
          <cell r="W116">
            <v>3548.2545999999998</v>
          </cell>
          <cell r="X116">
            <v>5695.2633999999998</v>
          </cell>
          <cell r="Y116">
            <v>6033.1807999999992</v>
          </cell>
          <cell r="Z116">
            <v>7249.34</v>
          </cell>
          <cell r="AA116">
            <v>8956.2579999999998</v>
          </cell>
          <cell r="AB116">
            <v>33248.839800000002</v>
          </cell>
          <cell r="AC116">
            <v>7255.6151999999993</v>
          </cell>
          <cell r="AD116">
            <v>12376.4964</v>
          </cell>
          <cell r="AE116">
            <v>8042.304799999999</v>
          </cell>
          <cell r="AF116">
            <v>14368.7346</v>
          </cell>
          <cell r="AG116">
            <v>109486.90179999999</v>
          </cell>
        </row>
        <row r="117">
          <cell r="G117">
            <v>0</v>
          </cell>
          <cell r="H117">
            <v>0</v>
          </cell>
          <cell r="I117">
            <v>0</v>
          </cell>
          <cell r="J117">
            <v>0</v>
          </cell>
          <cell r="K117">
            <v>0</v>
          </cell>
          <cell r="L117">
            <v>0</v>
          </cell>
          <cell r="M117">
            <v>239930.47</v>
          </cell>
          <cell r="N117">
            <v>0</v>
          </cell>
          <cell r="O117">
            <v>0</v>
          </cell>
          <cell r="P117">
            <v>0</v>
          </cell>
          <cell r="Q117">
            <v>0</v>
          </cell>
          <cell r="R117">
            <v>0</v>
          </cell>
          <cell r="S117">
            <v>0</v>
          </cell>
          <cell r="T117">
            <v>0</v>
          </cell>
          <cell r="U117">
            <v>0</v>
          </cell>
          <cell r="V117">
            <v>524.23</v>
          </cell>
          <cell r="W117">
            <v>5993.29</v>
          </cell>
          <cell r="X117">
            <v>6926.52</v>
          </cell>
          <cell r="Y117">
            <v>138.86000000000001</v>
          </cell>
          <cell r="Z117">
            <v>2688.99</v>
          </cell>
          <cell r="AA117">
            <v>4595.7</v>
          </cell>
          <cell r="AB117">
            <v>4596.7</v>
          </cell>
          <cell r="AC117">
            <v>1197.9000000000001</v>
          </cell>
          <cell r="AD117">
            <v>2795.98</v>
          </cell>
          <cell r="AE117">
            <v>2917.3</v>
          </cell>
          <cell r="AF117">
            <v>11169.54</v>
          </cell>
          <cell r="AG117">
            <v>43545.01</v>
          </cell>
        </row>
        <row r="118">
          <cell r="G118">
            <v>0</v>
          </cell>
          <cell r="H118">
            <v>0</v>
          </cell>
          <cell r="I118">
            <v>0</v>
          </cell>
          <cell r="J118">
            <v>0</v>
          </cell>
          <cell r="K118">
            <v>0</v>
          </cell>
          <cell r="L118">
            <v>0</v>
          </cell>
          <cell r="M118">
            <v>631356.14</v>
          </cell>
          <cell r="N118">
            <v>0</v>
          </cell>
          <cell r="O118">
            <v>0</v>
          </cell>
          <cell r="P118">
            <v>0</v>
          </cell>
          <cell r="Q118">
            <v>0</v>
          </cell>
          <cell r="R118">
            <v>0</v>
          </cell>
          <cell r="S118">
            <v>0</v>
          </cell>
          <cell r="T118">
            <v>0</v>
          </cell>
          <cell r="U118">
            <v>0</v>
          </cell>
          <cell r="V118">
            <v>2763.8085999999998</v>
          </cell>
          <cell r="W118">
            <v>9541.5445999999993</v>
          </cell>
          <cell r="X118">
            <v>12621.7834</v>
          </cell>
          <cell r="Y118">
            <v>6172.0407999999989</v>
          </cell>
          <cell r="Z118">
            <v>9938.33</v>
          </cell>
          <cell r="AA118">
            <v>13551.957999999999</v>
          </cell>
          <cell r="AB118">
            <v>37845.539799999999</v>
          </cell>
          <cell r="AC118">
            <v>8453.5151999999998</v>
          </cell>
          <cell r="AD118">
            <v>15172.4764</v>
          </cell>
          <cell r="AE118">
            <v>10959.604799999999</v>
          </cell>
          <cell r="AF118">
            <v>25538.274600000001</v>
          </cell>
          <cell r="AG118">
            <v>152558.87619999997</v>
          </cell>
        </row>
      </sheetData>
      <sheetData sheetId="4">
        <row r="1">
          <cell r="I1">
            <v>900</v>
          </cell>
        </row>
      </sheetData>
      <sheetData sheetId="5"/>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K3"/>
      <sheetName val="D1"/>
      <sheetName val="BK6"/>
      <sheetName val="P2"/>
      <sheetName val="F1"/>
      <sheetName val="BK4"/>
      <sheetName val="BK5"/>
      <sheetName val="BK2"/>
      <sheetName val="D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Q-Unit cost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Parameter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L &amp; Benefit"/>
      <sheetName val="IC-Tax Schedule"/>
      <sheetName val="Field Allowance"/>
      <sheetName val="Fix 1"/>
      <sheetName val="Employee Follow up"/>
      <sheetName val="EOC-notice"/>
      <sheetName val="Medical coverage"/>
      <sheetName val="Attendance"/>
      <sheetName val="Tax Calculation"/>
      <sheetName val="Payroll Permanen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30T09:00:55.114"/>
    </inkml:context>
    <inkml:brush xml:id="br0">
      <inkml:brushProperty name="width" value="0.05" units="cm"/>
      <inkml:brushProperty name="height" value="0.05" units="cm"/>
    </inkml:brush>
  </inkml:definitions>
  <inkml:trace contextRef="#ctx0" brushRef="#br0">0 1 11832,'0'0'0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7-17T07:42:46.495"/>
    </inkml:context>
    <inkml:brush xml:id="br0">
      <inkml:brushProperty name="width" value="0.05" units="cm"/>
      <inkml:brushProperty name="height" value="0.05" units="cm"/>
    </inkml:brush>
  </inkml:definitions>
  <inkml:trace contextRef="#ctx0" brushRef="#br0">0 1 11832,'0'0'0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4-04-30T08:48:57.984"/>
    </inkml:context>
    <inkml:brush xml:id="br0">
      <inkml:brushProperty name="width" value="0.05" units="cm"/>
      <inkml:brushProperty name="height" value="0.05" units="cm"/>
    </inkml:brush>
  </inkml:definitions>
  <inkml:trace contextRef="#ctx0" brushRef="#br0">0 1 9240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6.bin"/><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8.bin"/><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topLeftCell="A15" workbookViewId="0">
      <selection activeCell="E23" sqref="E23"/>
    </sheetView>
  </sheetViews>
  <sheetFormatPr defaultRowHeight="14.5"/>
  <cols>
    <col min="1" max="1" width="64.1796875" customWidth="1"/>
    <col min="2" max="2" width="18.54296875" customWidth="1"/>
    <col min="3" max="3" width="20.453125" customWidth="1"/>
    <col min="4" max="4" width="16.453125" customWidth="1"/>
    <col min="5" max="5" width="19.54296875" customWidth="1"/>
    <col min="6" max="6" width="14.453125" bestFit="1" customWidth="1"/>
    <col min="7" max="7" width="14.453125" customWidth="1"/>
  </cols>
  <sheetData>
    <row r="1" spans="1:8" ht="15" thickBot="1">
      <c r="A1" s="1" t="s">
        <v>0</v>
      </c>
      <c r="B1" s="44"/>
      <c r="C1" s="2"/>
      <c r="D1" s="2"/>
      <c r="E1" s="2"/>
      <c r="F1" s="45"/>
      <c r="G1" s="3"/>
    </row>
    <row r="2" spans="1:8">
      <c r="A2" s="235" t="s">
        <v>1</v>
      </c>
      <c r="B2" s="236" t="s">
        <v>2</v>
      </c>
      <c r="C2" s="237" t="s">
        <v>3</v>
      </c>
      <c r="D2" s="237" t="s">
        <v>4</v>
      </c>
      <c r="E2" s="237" t="s">
        <v>5</v>
      </c>
      <c r="F2" s="237" t="s">
        <v>6</v>
      </c>
      <c r="G2" s="238" t="s">
        <v>7</v>
      </c>
    </row>
    <row r="3" spans="1:8" ht="58">
      <c r="A3" s="239" t="str">
        <f>'2024-2028 Budget'!B63</f>
        <v>Objective 1: To enhance Civic Participation, Accountability, and Inclusive Democracy by the year 2028.</v>
      </c>
      <c r="B3" s="229" t="s">
        <v>8</v>
      </c>
      <c r="C3" s="230">
        <f>'2024-2028 Budget'!F63-'2024-2028 Budget'!F72</f>
        <v>0</v>
      </c>
      <c r="D3" s="230">
        <f>'2024-2028 Budget'!H63-'2024-2028 Budget'!H72</f>
        <v>0</v>
      </c>
      <c r="E3" s="230">
        <f>'2024-2028 Budget'!J63-'2024-2028 Budget'!J72</f>
        <v>0</v>
      </c>
      <c r="F3" s="234">
        <f>'2024-2028 Budget'!L63-'2024-2028 Budget'!L72</f>
        <v>0</v>
      </c>
      <c r="G3" s="240">
        <f>F3+E3+D3+C3</f>
        <v>0</v>
      </c>
      <c r="H3">
        <f>9+13+12+6</f>
        <v>40</v>
      </c>
    </row>
    <row r="4" spans="1:8" ht="29">
      <c r="A4" s="241"/>
      <c r="B4" s="168" t="s">
        <v>9</v>
      </c>
      <c r="C4" s="232">
        <f>'2024-2028 Budget'!F72</f>
        <v>0</v>
      </c>
      <c r="D4" s="232">
        <f>'2024-2028 Budget'!H72</f>
        <v>0</v>
      </c>
      <c r="E4" s="232">
        <f>'2024-2028 Budget'!J72</f>
        <v>0</v>
      </c>
      <c r="F4" s="232">
        <f>'2024-2028 Budget'!L72</f>
        <v>0</v>
      </c>
      <c r="G4" s="242">
        <f>F4+E4+D4+C4</f>
        <v>0</v>
      </c>
      <c r="H4" t="s">
        <v>10</v>
      </c>
    </row>
    <row r="5" spans="1:8">
      <c r="A5" s="241"/>
      <c r="B5" s="226"/>
      <c r="C5" s="226"/>
      <c r="D5" s="226"/>
      <c r="E5" s="226"/>
      <c r="F5" s="226"/>
      <c r="G5" s="243"/>
    </row>
    <row r="6" spans="1:8">
      <c r="A6" s="244" t="s">
        <v>11</v>
      </c>
      <c r="B6" s="233"/>
      <c r="C6" s="233">
        <f>SUM(C3:C5)</f>
        <v>0</v>
      </c>
      <c r="D6" s="233">
        <f>SUM(D3:D5)</f>
        <v>0</v>
      </c>
      <c r="E6" s="233">
        <f>SUM(E3:E4)</f>
        <v>0</v>
      </c>
      <c r="F6" s="233">
        <f>SUM(F3:F4)</f>
        <v>0</v>
      </c>
      <c r="G6" s="245">
        <f>SUM(G3:G4)</f>
        <v>0</v>
      </c>
    </row>
    <row r="7" spans="1:8">
      <c r="A7" s="246"/>
      <c r="B7" s="226"/>
      <c r="C7" s="226"/>
      <c r="D7" s="226"/>
      <c r="E7" s="226"/>
      <c r="F7" s="226"/>
      <c r="G7" s="243"/>
    </row>
    <row r="8" spans="1:8">
      <c r="A8" s="247"/>
      <c r="B8" s="227" t="s">
        <v>2</v>
      </c>
      <c r="C8" s="228" t="s">
        <v>3</v>
      </c>
      <c r="D8" s="228" t="s">
        <v>4</v>
      </c>
      <c r="E8" s="228" t="s">
        <v>5</v>
      </c>
      <c r="F8" s="228" t="s">
        <v>6</v>
      </c>
      <c r="G8" s="248" t="s">
        <v>7</v>
      </c>
    </row>
    <row r="9" spans="1:8" ht="58">
      <c r="A9" s="249" t="e">
        <f>'2024-2028 Budget'!#REF!</f>
        <v>#REF!</v>
      </c>
      <c r="B9" s="229" t="s">
        <v>12</v>
      </c>
      <c r="C9" s="230" t="e">
        <f>'2024-2028 Budget'!#REF!-'2024-2028 Budget'!#REF!</f>
        <v>#REF!</v>
      </c>
      <c r="D9" s="230" t="e">
        <f>'2024-2028 Budget'!#REF!-'2024-2028 Budget'!H79</f>
        <v>#REF!</v>
      </c>
      <c r="E9" s="230" t="e">
        <f>'2024-2028 Budget'!#REF!-'2024-2028 Budget'!J79</f>
        <v>#REF!</v>
      </c>
      <c r="F9" s="234" t="e">
        <f>'2024-2028 Budget'!#REF!-'2024-2028 Budget'!#REF!</f>
        <v>#REF!</v>
      </c>
      <c r="G9" s="250" t="e">
        <f>F9+E9+D9+C9</f>
        <v>#REF!</v>
      </c>
    </row>
    <row r="10" spans="1:8" ht="29">
      <c r="A10" s="241"/>
      <c r="B10" s="168" t="s">
        <v>13</v>
      </c>
      <c r="C10" s="232" t="e">
        <f>'2024-2028 Budget'!#REF!</f>
        <v>#REF!</v>
      </c>
      <c r="D10" s="232" t="e">
        <f>'2024-2028 Budget'!#REF!</f>
        <v>#REF!</v>
      </c>
      <c r="E10" s="232" t="e">
        <f>'2024-2028 Budget'!#REF!</f>
        <v>#REF!</v>
      </c>
      <c r="F10" s="232" t="e">
        <f>'2024-2028 Budget'!#REF!</f>
        <v>#REF!</v>
      </c>
      <c r="G10" s="242" t="e">
        <f>F10+E10+D10+C10</f>
        <v>#REF!</v>
      </c>
    </row>
    <row r="11" spans="1:8">
      <c r="A11" s="241"/>
      <c r="B11" s="226"/>
      <c r="C11" s="226"/>
      <c r="D11" s="226"/>
      <c r="E11" s="226"/>
      <c r="F11" s="226"/>
      <c r="G11" s="243"/>
    </row>
    <row r="12" spans="1:8">
      <c r="A12" s="244" t="s">
        <v>14</v>
      </c>
      <c r="B12" s="233"/>
      <c r="C12" s="233" t="e">
        <f>SUM(C9:C11)</f>
        <v>#REF!</v>
      </c>
      <c r="D12" s="233" t="e">
        <f>SUM(D9:D11)</f>
        <v>#REF!</v>
      </c>
      <c r="E12" s="233" t="e">
        <f>SUM(E9:E10)</f>
        <v>#REF!</v>
      </c>
      <c r="F12" s="233" t="e">
        <f>SUM(F9:F10)</f>
        <v>#REF!</v>
      </c>
      <c r="G12" s="245" t="e">
        <f>SUM(G9:G10)</f>
        <v>#REF!</v>
      </c>
    </row>
    <row r="13" spans="1:8">
      <c r="A13" s="246"/>
      <c r="B13" s="226"/>
      <c r="C13" s="226"/>
      <c r="D13" s="226"/>
      <c r="E13" s="226"/>
      <c r="F13" s="226"/>
      <c r="G13" s="243"/>
    </row>
    <row r="14" spans="1:8">
      <c r="A14" s="247"/>
      <c r="B14" s="227" t="s">
        <v>2</v>
      </c>
      <c r="C14" s="228" t="s">
        <v>3</v>
      </c>
      <c r="D14" s="228" t="s">
        <v>4</v>
      </c>
      <c r="E14" s="228" t="s">
        <v>5</v>
      </c>
      <c r="F14" s="228" t="s">
        <v>6</v>
      </c>
      <c r="G14" s="248" t="s">
        <v>7</v>
      </c>
    </row>
    <row r="15" spans="1:8" ht="58">
      <c r="A15" s="249" t="e">
        <f>'2024-2028 Budget'!#REF!</f>
        <v>#REF!</v>
      </c>
      <c r="B15" s="229" t="s">
        <v>15</v>
      </c>
      <c r="C15" s="230" t="e">
        <f>'2024-2028 Budget'!#REF!-'2024-2028 Budget'!F79</f>
        <v>#REF!</v>
      </c>
      <c r="D15" s="230" t="e">
        <f>'2024-2028 Budget'!#REF!-'2024-2028 Budget'!H79</f>
        <v>#REF!</v>
      </c>
      <c r="E15" s="230" t="e">
        <f>'2024-2028 Budget'!#REF!-'2024-2028 Budget'!J79</f>
        <v>#REF!</v>
      </c>
      <c r="F15" s="234" t="e">
        <f>'2024-2028 Budget'!#REF!</f>
        <v>#REF!</v>
      </c>
      <c r="G15" s="250" t="e">
        <f>F15+E15+D15+C15</f>
        <v>#REF!</v>
      </c>
    </row>
    <row r="16" spans="1:8" ht="29">
      <c r="A16" s="241"/>
      <c r="B16" s="168" t="s">
        <v>16</v>
      </c>
      <c r="C16" s="232">
        <f>'2024-2028 Budget'!F79</f>
        <v>0</v>
      </c>
      <c r="D16" s="232">
        <f>'2024-2028 Budget'!H79</f>
        <v>0</v>
      </c>
      <c r="E16" s="232">
        <f>'2024-2028 Budget'!J79</f>
        <v>0</v>
      </c>
      <c r="F16" s="232">
        <f>'2024-2028 Budget'!L77</f>
        <v>0</v>
      </c>
      <c r="G16" s="242">
        <f>F16+E16+D16+C16</f>
        <v>0</v>
      </c>
    </row>
    <row r="17" spans="1:7">
      <c r="A17" s="241"/>
      <c r="B17" s="226"/>
      <c r="C17" s="226"/>
      <c r="D17" s="226"/>
      <c r="E17" s="226"/>
      <c r="F17" s="226"/>
      <c r="G17" s="243"/>
    </row>
    <row r="18" spans="1:7">
      <c r="A18" s="244" t="s">
        <v>17</v>
      </c>
      <c r="B18" s="233"/>
      <c r="C18" s="233" t="e">
        <f>SUM(C15:C17)</f>
        <v>#REF!</v>
      </c>
      <c r="D18" s="233" t="e">
        <f>SUM(D15:D17)</f>
        <v>#REF!</v>
      </c>
      <c r="E18" s="233" t="e">
        <f>SUM(E15:E16)</f>
        <v>#REF!</v>
      </c>
      <c r="F18" s="233" t="e">
        <f>SUM(F15:F16)</f>
        <v>#REF!</v>
      </c>
      <c r="G18" s="245" t="e">
        <f>SUM(G15:G16)</f>
        <v>#REF!</v>
      </c>
    </row>
    <row r="19" spans="1:7">
      <c r="A19" s="246"/>
      <c r="B19" s="226"/>
      <c r="C19" s="226"/>
      <c r="D19" s="226"/>
      <c r="E19" s="226"/>
      <c r="F19" s="226"/>
      <c r="G19" s="243"/>
    </row>
    <row r="20" spans="1:7">
      <c r="A20" s="247"/>
      <c r="B20" s="227" t="s">
        <v>2</v>
      </c>
      <c r="C20" s="228" t="s">
        <v>3</v>
      </c>
      <c r="D20" s="228" t="s">
        <v>4</v>
      </c>
      <c r="E20" s="228" t="s">
        <v>5</v>
      </c>
      <c r="F20" s="228" t="s">
        <v>6</v>
      </c>
      <c r="G20" s="248" t="s">
        <v>7</v>
      </c>
    </row>
    <row r="21" spans="1:7" ht="58">
      <c r="A21" s="249" t="e">
        <f>'2024-2028 Budget'!#REF!</f>
        <v>#REF!</v>
      </c>
      <c r="B21" s="229" t="s">
        <v>18</v>
      </c>
      <c r="C21" s="230" t="e">
        <f>'2024-2028 Budget'!#REF!-'2024-2028 Budget'!F87</f>
        <v>#REF!</v>
      </c>
      <c r="D21" s="230" t="e">
        <f>'2024-2028 Budget'!#REF!-'2024-2028 Budget'!H87</f>
        <v>#REF!</v>
      </c>
      <c r="E21" s="230" t="e">
        <f>'2024-2028 Budget'!#REF!-'2024-2028 Budget'!J87</f>
        <v>#REF!</v>
      </c>
      <c r="F21" s="234" t="e">
        <f>'2024-2028 Budget'!#REF!-'2024-2028 Budget'!L87</f>
        <v>#REF!</v>
      </c>
      <c r="G21" s="250" t="e">
        <f>F21+E21+D21+C21</f>
        <v>#REF!</v>
      </c>
    </row>
    <row r="22" spans="1:7" ht="29">
      <c r="A22" s="241"/>
      <c r="B22" s="168" t="s">
        <v>19</v>
      </c>
      <c r="C22" s="232">
        <f>'2024-2028 Budget'!F87</f>
        <v>0</v>
      </c>
      <c r="D22" s="232">
        <f>'2024-2028 Budget'!H87</f>
        <v>0</v>
      </c>
      <c r="E22" s="232">
        <f>'2024-2028 Budget'!J87</f>
        <v>0</v>
      </c>
      <c r="F22" s="232">
        <f>'2024-2028 Budget'!L87</f>
        <v>0</v>
      </c>
      <c r="G22" s="242">
        <f>F22+E22+D22+C22</f>
        <v>0</v>
      </c>
    </row>
    <row r="23" spans="1:7">
      <c r="A23" s="241"/>
      <c r="B23" s="226"/>
      <c r="C23" s="226"/>
      <c r="D23" s="226"/>
      <c r="E23" s="226"/>
      <c r="F23" s="226"/>
      <c r="G23" s="243"/>
    </row>
    <row r="24" spans="1:7">
      <c r="A24" s="244" t="s">
        <v>20</v>
      </c>
      <c r="B24" s="233"/>
      <c r="C24" s="233" t="e">
        <f>SUM(C21:C23)</f>
        <v>#REF!</v>
      </c>
      <c r="D24" s="233" t="e">
        <f>SUM(D21:D23)</f>
        <v>#REF!</v>
      </c>
      <c r="E24" s="233" t="e">
        <f>SUM(E21:E22)</f>
        <v>#REF!</v>
      </c>
      <c r="F24" s="233" t="e">
        <f>SUM(F21:F22)</f>
        <v>#REF!</v>
      </c>
      <c r="G24" s="245" t="e">
        <f>SUM(G21:G22)</f>
        <v>#REF!</v>
      </c>
    </row>
    <row r="25" spans="1:7">
      <c r="A25" s="253"/>
      <c r="B25" s="254"/>
      <c r="C25" s="254"/>
      <c r="D25" s="254"/>
      <c r="E25" s="254"/>
      <c r="F25" s="254"/>
      <c r="G25" s="255"/>
    </row>
    <row r="26" spans="1:7">
      <c r="A26" s="246" t="s">
        <v>21</v>
      </c>
      <c r="B26" s="226"/>
      <c r="C26" s="226" t="e">
        <f t="shared" ref="C26:F27" si="0">C21+C15+C9+C3</f>
        <v>#REF!</v>
      </c>
      <c r="D26" s="226" t="e">
        <f t="shared" si="0"/>
        <v>#REF!</v>
      </c>
      <c r="E26" s="226" t="e">
        <f t="shared" si="0"/>
        <v>#REF!</v>
      </c>
      <c r="F26" s="226" t="e">
        <f t="shared" si="0"/>
        <v>#REF!</v>
      </c>
      <c r="G26" s="252" t="e">
        <f>F26+E26+D26+C26</f>
        <v>#REF!</v>
      </c>
    </row>
    <row r="27" spans="1:7">
      <c r="A27" s="246" t="s">
        <v>22</v>
      </c>
      <c r="B27" s="226"/>
      <c r="C27" s="226" t="e">
        <f t="shared" si="0"/>
        <v>#REF!</v>
      </c>
      <c r="D27" s="226" t="e">
        <f t="shared" si="0"/>
        <v>#REF!</v>
      </c>
      <c r="E27" s="226" t="e">
        <f t="shared" si="0"/>
        <v>#REF!</v>
      </c>
      <c r="F27" s="226" t="e">
        <f t="shared" si="0"/>
        <v>#REF!</v>
      </c>
      <c r="G27" s="252" t="e">
        <f>F27+E27+D27+C27</f>
        <v>#REF!</v>
      </c>
    </row>
    <row r="28" spans="1:7">
      <c r="A28" s="244"/>
      <c r="B28" s="231"/>
      <c r="C28" s="231"/>
      <c r="D28" s="231"/>
      <c r="E28" s="231"/>
      <c r="F28" s="231"/>
      <c r="G28" s="256"/>
    </row>
    <row r="29" spans="1:7" ht="15" thickBot="1">
      <c r="A29" s="257" t="s">
        <v>23</v>
      </c>
      <c r="B29" s="251"/>
      <c r="C29" s="251" t="e">
        <f>SUM(C26:C28)</f>
        <v>#REF!</v>
      </c>
      <c r="D29" s="251" t="e">
        <f>SUM(D26:D28)</f>
        <v>#REF!</v>
      </c>
      <c r="E29" s="251" t="e">
        <f>SUM(E26:E27)</f>
        <v>#REF!</v>
      </c>
      <c r="F29" s="251" t="e">
        <f>SUM(F26:F27)</f>
        <v>#REF!</v>
      </c>
      <c r="G29" s="258" t="e">
        <f>SUM(G26:G27)</f>
        <v>#REF!</v>
      </c>
    </row>
  </sheetData>
  <pageMargins left="0.7" right="0.7" top="0.75" bottom="0.75" header="0.3" footer="0.3"/>
  <customProperties>
    <customPr name="QAA_DRILLPATH_NODE_ID"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51"/>
  <sheetViews>
    <sheetView tabSelected="1" topLeftCell="B8" zoomScale="95" zoomScaleNormal="95" workbookViewId="0">
      <selection activeCell="B8" sqref="A1:XFD1048576"/>
    </sheetView>
  </sheetViews>
  <sheetFormatPr defaultRowHeight="23"/>
  <cols>
    <col min="1" max="1" width="37.54296875" style="806" hidden="1" customWidth="1"/>
    <col min="2" max="2" width="5.1796875" style="806" customWidth="1"/>
    <col min="3" max="3" width="8" style="827" customWidth="1"/>
    <col min="4" max="4" width="31.1796875" style="828" customWidth="1"/>
    <col min="5" max="5" width="12.54296875" style="806" customWidth="1"/>
    <col min="6" max="6" width="15.453125" style="806" customWidth="1"/>
    <col min="7" max="7" width="10" style="806" customWidth="1"/>
    <col min="8" max="8" width="11.1796875" style="806" customWidth="1"/>
    <col min="9" max="11" width="9.1796875" style="806" customWidth="1"/>
    <col min="12" max="12" width="10" style="806" customWidth="1"/>
    <col min="13" max="13" width="8.7265625" style="806"/>
    <col min="14" max="14" width="11.1796875" style="806" customWidth="1"/>
    <col min="15" max="15" width="9.1796875" style="806" customWidth="1"/>
    <col min="16" max="16" width="12" style="806" customWidth="1"/>
    <col min="17" max="17" width="37.7265625" style="806" customWidth="1"/>
    <col min="18" max="16384" width="8.7265625" style="806"/>
  </cols>
  <sheetData>
    <row r="1" spans="2:17" ht="14.25" customHeight="1">
      <c r="B1" s="806" t="s">
        <v>471</v>
      </c>
    </row>
    <row r="2" spans="2:17" ht="14.25" customHeight="1">
      <c r="B2" s="806" t="s">
        <v>472</v>
      </c>
    </row>
    <row r="3" spans="2:17" ht="14.25" customHeight="1">
      <c r="D3" s="829" t="s">
        <v>473</v>
      </c>
      <c r="E3" s="829"/>
      <c r="F3" s="829"/>
    </row>
    <row r="4" spans="2:17" ht="35.25" customHeight="1">
      <c r="D4" s="830"/>
      <c r="E4" s="831" t="s">
        <v>175</v>
      </c>
      <c r="F4" s="832" t="s">
        <v>474</v>
      </c>
      <c r="G4" s="832" t="s">
        <v>475</v>
      </c>
      <c r="H4" s="832" t="s">
        <v>476</v>
      </c>
      <c r="I4" s="832" t="s">
        <v>178</v>
      </c>
      <c r="J4" s="832" t="s">
        <v>477</v>
      </c>
      <c r="K4" s="832" t="s">
        <v>478</v>
      </c>
      <c r="L4" s="832" t="s">
        <v>479</v>
      </c>
      <c r="M4" s="833" t="s">
        <v>480</v>
      </c>
      <c r="N4" s="833" t="s">
        <v>481</v>
      </c>
      <c r="O4" s="832" t="s">
        <v>482</v>
      </c>
      <c r="P4" s="834" t="s">
        <v>483</v>
      </c>
    </row>
    <row r="5" spans="2:17" ht="14.25" customHeight="1">
      <c r="D5" s="835" t="s">
        <v>492</v>
      </c>
      <c r="E5" s="836">
        <v>20000</v>
      </c>
      <c r="F5" s="837">
        <v>1490.8</v>
      </c>
      <c r="G5" s="837">
        <f t="shared" ref="G5" si="0">+E5*0.6*0.25</f>
        <v>3000</v>
      </c>
      <c r="H5" s="837">
        <v>974.1</v>
      </c>
      <c r="I5" s="837">
        <f t="shared" ref="I5" si="1">(978.28)*1+(852.6*1)+(491.12*3)</f>
        <v>3304.2400000000002</v>
      </c>
      <c r="J5" s="837">
        <f>E5*0.5%</f>
        <v>100</v>
      </c>
      <c r="K5" s="837">
        <f t="shared" ref="K5" si="2">E5*0.6*0.01</f>
        <v>120</v>
      </c>
      <c r="L5" s="837">
        <f t="shared" ref="L5:L10" si="3">SUM(E5:K5)</f>
        <v>28989.14</v>
      </c>
      <c r="M5" s="826">
        <v>1</v>
      </c>
      <c r="N5" s="837">
        <f>+L5*M5</f>
        <v>28989.14</v>
      </c>
      <c r="O5" s="837">
        <v>1</v>
      </c>
      <c r="P5" s="838">
        <f>+N5*O5</f>
        <v>28989.14</v>
      </c>
      <c r="Q5" s="839"/>
    </row>
    <row r="6" spans="2:17" ht="20.149999999999999" customHeight="1">
      <c r="D6" s="835"/>
      <c r="E6" s="837"/>
      <c r="F6" s="837"/>
      <c r="G6" s="837">
        <f t="shared" ref="G6:G9" si="4">+E6*0.6*0.25</f>
        <v>0</v>
      </c>
      <c r="H6" s="837"/>
      <c r="I6" s="837"/>
      <c r="J6" s="837">
        <f>E6*0.5%</f>
        <v>0</v>
      </c>
      <c r="K6" s="837">
        <f t="shared" ref="K6:K10" si="5">E6*0.6*0.01</f>
        <v>0</v>
      </c>
      <c r="L6" s="837">
        <f>SUM(E6:K6)</f>
        <v>0</v>
      </c>
      <c r="M6" s="826">
        <v>1</v>
      </c>
      <c r="N6" s="837">
        <f t="shared" ref="N6:N10" si="6">+L6*M6</f>
        <v>0</v>
      </c>
      <c r="O6" s="837">
        <v>1</v>
      </c>
      <c r="P6" s="838">
        <f t="shared" ref="P6:P10" si="7">+N6*O6</f>
        <v>0</v>
      </c>
      <c r="Q6" s="839"/>
    </row>
    <row r="7" spans="2:17" ht="20.149999999999999" customHeight="1">
      <c r="D7" s="835"/>
      <c r="E7" s="837"/>
      <c r="F7" s="837"/>
      <c r="G7" s="837">
        <f t="shared" ref="G7" si="8">+E7*0.6*0.25</f>
        <v>0</v>
      </c>
      <c r="H7" s="837"/>
      <c r="I7" s="837"/>
      <c r="J7" s="837">
        <f>E7*0.5%</f>
        <v>0</v>
      </c>
      <c r="K7" s="837">
        <f t="shared" ref="K7" si="9">E7*0.6*0.01</f>
        <v>0</v>
      </c>
      <c r="L7" s="837">
        <f>SUM(E7:K7)</f>
        <v>0</v>
      </c>
      <c r="M7" s="826">
        <v>1</v>
      </c>
      <c r="N7" s="837">
        <f t="shared" ref="N7" si="10">+L7*M7</f>
        <v>0</v>
      </c>
      <c r="O7" s="837">
        <v>1</v>
      </c>
      <c r="P7" s="838">
        <f t="shared" ref="P7" si="11">+N7*O7</f>
        <v>0</v>
      </c>
      <c r="Q7" s="839"/>
    </row>
    <row r="8" spans="2:17" ht="14.25" customHeight="1">
      <c r="D8" s="835"/>
      <c r="E8" s="837"/>
      <c r="F8" s="837"/>
      <c r="G8" s="837">
        <f t="shared" si="4"/>
        <v>0</v>
      </c>
      <c r="H8" s="837"/>
      <c r="I8" s="837"/>
      <c r="J8" s="837">
        <f t="shared" ref="J8:J10" si="12">E8*0.5%</f>
        <v>0</v>
      </c>
      <c r="K8" s="837">
        <f t="shared" si="5"/>
        <v>0</v>
      </c>
      <c r="L8" s="837">
        <f t="shared" si="3"/>
        <v>0</v>
      </c>
      <c r="M8" s="826">
        <v>1</v>
      </c>
      <c r="N8" s="837">
        <f t="shared" si="6"/>
        <v>0</v>
      </c>
      <c r="O8" s="837">
        <v>3</v>
      </c>
      <c r="P8" s="838">
        <f t="shared" si="7"/>
        <v>0</v>
      </c>
      <c r="Q8" s="839"/>
    </row>
    <row r="9" spans="2:17" ht="14.25" customHeight="1">
      <c r="D9" s="840"/>
      <c r="E9" s="837"/>
      <c r="F9" s="837"/>
      <c r="G9" s="837">
        <f t="shared" si="4"/>
        <v>0</v>
      </c>
      <c r="H9" s="837"/>
      <c r="I9" s="837"/>
      <c r="J9" s="837">
        <f t="shared" si="12"/>
        <v>0</v>
      </c>
      <c r="K9" s="837">
        <f t="shared" si="5"/>
        <v>0</v>
      </c>
      <c r="L9" s="837">
        <f t="shared" si="3"/>
        <v>0</v>
      </c>
      <c r="M9" s="826">
        <v>1</v>
      </c>
      <c r="N9" s="837">
        <f t="shared" si="6"/>
        <v>0</v>
      </c>
      <c r="O9" s="837">
        <v>2</v>
      </c>
      <c r="P9" s="838">
        <f t="shared" si="7"/>
        <v>0</v>
      </c>
      <c r="Q9" s="839"/>
    </row>
    <row r="10" spans="2:17" ht="14.25" customHeight="1">
      <c r="D10" s="840"/>
      <c r="E10" s="837"/>
      <c r="F10" s="837"/>
      <c r="G10" s="837">
        <f>+E10*0.6*0.25</f>
        <v>0</v>
      </c>
      <c r="H10" s="837"/>
      <c r="I10" s="837"/>
      <c r="J10" s="837">
        <f t="shared" si="12"/>
        <v>0</v>
      </c>
      <c r="K10" s="837">
        <f t="shared" si="5"/>
        <v>0</v>
      </c>
      <c r="L10" s="837">
        <f t="shared" si="3"/>
        <v>0</v>
      </c>
      <c r="M10" s="826">
        <v>1</v>
      </c>
      <c r="N10" s="837">
        <f t="shared" si="6"/>
        <v>0</v>
      </c>
      <c r="O10" s="837">
        <v>1</v>
      </c>
      <c r="P10" s="838">
        <f t="shared" si="7"/>
        <v>0</v>
      </c>
      <c r="Q10" s="839"/>
    </row>
    <row r="11" spans="2:17" ht="14.25" customHeight="1" thickBot="1">
      <c r="D11" s="835" t="s">
        <v>484</v>
      </c>
      <c r="E11" s="841">
        <f t="shared" ref="E11:P11" si="13">SUM(E5:E10)</f>
        <v>20000</v>
      </c>
      <c r="F11" s="841">
        <f t="shared" si="13"/>
        <v>1490.8</v>
      </c>
      <c r="G11" s="841">
        <f t="shared" si="13"/>
        <v>3000</v>
      </c>
      <c r="H11" s="841">
        <f t="shared" si="13"/>
        <v>974.1</v>
      </c>
      <c r="I11" s="841">
        <f t="shared" si="13"/>
        <v>3304.2400000000002</v>
      </c>
      <c r="J11" s="841">
        <f t="shared" si="13"/>
        <v>100</v>
      </c>
      <c r="K11" s="841">
        <f t="shared" si="13"/>
        <v>120</v>
      </c>
      <c r="L11" s="841">
        <f t="shared" si="13"/>
        <v>28989.14</v>
      </c>
      <c r="M11" s="841">
        <f t="shared" si="13"/>
        <v>6</v>
      </c>
      <c r="N11" s="841">
        <f t="shared" si="13"/>
        <v>28989.14</v>
      </c>
      <c r="O11" s="841">
        <f t="shared" si="13"/>
        <v>9</v>
      </c>
      <c r="P11" s="841">
        <f t="shared" si="13"/>
        <v>28989.14</v>
      </c>
      <c r="Q11" s="839"/>
    </row>
    <row r="12" spans="2:17" ht="14.25" customHeight="1">
      <c r="D12" s="842"/>
      <c r="E12" s="842"/>
      <c r="F12" s="843"/>
      <c r="G12" s="843"/>
      <c r="H12" s="843"/>
      <c r="I12" s="843"/>
      <c r="J12" s="843"/>
      <c r="K12" s="843"/>
      <c r="L12" s="844"/>
      <c r="M12" s="826"/>
      <c r="N12" s="837"/>
      <c r="O12" s="845"/>
      <c r="P12" s="846"/>
      <c r="Q12" s="839"/>
    </row>
    <row r="13" spans="2:17" ht="14.25" customHeight="1">
      <c r="D13" s="842"/>
      <c r="E13" s="842"/>
      <c r="F13" s="843"/>
      <c r="G13" s="843"/>
      <c r="H13" s="843"/>
      <c r="I13" s="843"/>
      <c r="J13" s="843"/>
      <c r="K13" s="843"/>
      <c r="L13" s="844"/>
      <c r="M13" s="826"/>
      <c r="N13" s="837"/>
      <c r="O13" s="845"/>
      <c r="P13" s="846"/>
      <c r="Q13" s="839"/>
    </row>
    <row r="14" spans="2:17" ht="27.75" customHeight="1">
      <c r="D14" s="830"/>
      <c r="E14" s="831" t="s">
        <v>175</v>
      </c>
      <c r="F14" s="832" t="s">
        <v>474</v>
      </c>
      <c r="G14" s="832" t="s">
        <v>475</v>
      </c>
      <c r="H14" s="832" t="s">
        <v>476</v>
      </c>
      <c r="I14" s="832" t="s">
        <v>178</v>
      </c>
      <c r="J14" s="832" t="s">
        <v>477</v>
      </c>
      <c r="K14" s="832" t="s">
        <v>478</v>
      </c>
      <c r="L14" s="832" t="s">
        <v>479</v>
      </c>
      <c r="M14" s="833" t="s">
        <v>480</v>
      </c>
      <c r="N14" s="833" t="s">
        <v>481</v>
      </c>
      <c r="O14" s="832" t="s">
        <v>482</v>
      </c>
      <c r="P14" s="834" t="s">
        <v>483</v>
      </c>
      <c r="Q14" s="839"/>
    </row>
    <row r="15" spans="2:17" ht="14.25" customHeight="1">
      <c r="D15" s="842" t="s">
        <v>528</v>
      </c>
      <c r="E15" s="837">
        <v>30000</v>
      </c>
      <c r="F15" s="837">
        <f>1490.8</f>
        <v>1490.8</v>
      </c>
      <c r="G15" s="837">
        <f>+E15*0.6*0.25</f>
        <v>4500</v>
      </c>
      <c r="H15" s="837">
        <v>974.1</v>
      </c>
      <c r="I15" s="837">
        <f t="shared" ref="I15" si="14">((978.28)*1+(852.6*1)+(491.12*3))</f>
        <v>3304.2400000000002</v>
      </c>
      <c r="J15" s="837">
        <f t="shared" ref="J15:J21" si="15">E15*0.5%</f>
        <v>150</v>
      </c>
      <c r="K15" s="837">
        <f t="shared" ref="K15:K23" si="16">E15*0.6*0.01</f>
        <v>180</v>
      </c>
      <c r="L15" s="837">
        <f>SUM(E15:K15)</f>
        <v>40599.14</v>
      </c>
      <c r="M15" s="826">
        <v>0.2</v>
      </c>
      <c r="N15" s="837">
        <f>+L15*M15</f>
        <v>8119.8280000000004</v>
      </c>
      <c r="O15" s="837">
        <v>1</v>
      </c>
      <c r="P15" s="838">
        <f>+N15*O15</f>
        <v>8119.8280000000004</v>
      </c>
      <c r="Q15" s="839"/>
    </row>
    <row r="16" spans="2:17" ht="14.25" customHeight="1">
      <c r="D16" s="842"/>
      <c r="E16" s="837"/>
      <c r="F16" s="837"/>
      <c r="G16" s="837"/>
      <c r="H16" s="837"/>
      <c r="I16" s="837"/>
      <c r="J16" s="837">
        <f t="shared" si="15"/>
        <v>0</v>
      </c>
      <c r="K16" s="837">
        <f t="shared" si="16"/>
        <v>0</v>
      </c>
      <c r="L16" s="837">
        <f t="shared" ref="L16:L23" si="17">SUM(E16:K16)</f>
        <v>0</v>
      </c>
      <c r="M16" s="826"/>
      <c r="N16" s="837">
        <f t="shared" ref="N16:N23" si="18">+L16*M16</f>
        <v>0</v>
      </c>
      <c r="O16" s="837">
        <v>1</v>
      </c>
      <c r="P16" s="838">
        <f t="shared" ref="P16:P24" si="19">+N16*O16</f>
        <v>0</v>
      </c>
    </row>
    <row r="17" spans="4:17" ht="14.25" customHeight="1">
      <c r="D17" s="842"/>
      <c r="E17" s="837"/>
      <c r="F17" s="837"/>
      <c r="G17" s="837"/>
      <c r="H17" s="837"/>
      <c r="I17" s="837"/>
      <c r="J17" s="837">
        <f t="shared" si="15"/>
        <v>0</v>
      </c>
      <c r="K17" s="837">
        <f t="shared" si="16"/>
        <v>0</v>
      </c>
      <c r="L17" s="837">
        <f t="shared" si="17"/>
        <v>0</v>
      </c>
      <c r="M17" s="826"/>
      <c r="N17" s="837">
        <f t="shared" si="18"/>
        <v>0</v>
      </c>
      <c r="O17" s="837">
        <v>1</v>
      </c>
      <c r="P17" s="838">
        <f t="shared" si="19"/>
        <v>0</v>
      </c>
    </row>
    <row r="18" spans="4:17" ht="14.25" customHeight="1">
      <c r="D18" s="842"/>
      <c r="E18" s="837"/>
      <c r="F18" s="837"/>
      <c r="G18" s="837"/>
      <c r="H18" s="837"/>
      <c r="I18" s="837"/>
      <c r="J18" s="837">
        <f t="shared" si="15"/>
        <v>0</v>
      </c>
      <c r="K18" s="837">
        <f t="shared" si="16"/>
        <v>0</v>
      </c>
      <c r="L18" s="837">
        <f t="shared" si="17"/>
        <v>0</v>
      </c>
      <c r="M18" s="847"/>
      <c r="N18" s="837">
        <f t="shared" si="18"/>
        <v>0</v>
      </c>
      <c r="O18" s="837">
        <v>1</v>
      </c>
      <c r="P18" s="838">
        <f t="shared" si="19"/>
        <v>0</v>
      </c>
    </row>
    <row r="19" spans="4:17" ht="14.25" customHeight="1">
      <c r="D19" s="842"/>
      <c r="E19" s="837"/>
      <c r="F19" s="837"/>
      <c r="G19" s="837"/>
      <c r="H19" s="837"/>
      <c r="I19" s="837"/>
      <c r="J19" s="837">
        <f t="shared" si="15"/>
        <v>0</v>
      </c>
      <c r="K19" s="837">
        <f t="shared" si="16"/>
        <v>0</v>
      </c>
      <c r="L19" s="837">
        <f t="shared" si="17"/>
        <v>0</v>
      </c>
      <c r="M19" s="847"/>
      <c r="N19" s="837">
        <f t="shared" si="18"/>
        <v>0</v>
      </c>
      <c r="O19" s="837">
        <v>1</v>
      </c>
      <c r="P19" s="838">
        <f t="shared" si="19"/>
        <v>0</v>
      </c>
    </row>
    <row r="20" spans="4:17" ht="14.25" customHeight="1">
      <c r="D20" s="842"/>
      <c r="E20" s="837"/>
      <c r="F20" s="837"/>
      <c r="G20" s="837"/>
      <c r="H20" s="837"/>
      <c r="I20" s="837"/>
      <c r="J20" s="837">
        <f t="shared" si="15"/>
        <v>0</v>
      </c>
      <c r="K20" s="837">
        <f t="shared" si="16"/>
        <v>0</v>
      </c>
      <c r="L20" s="837">
        <f t="shared" si="17"/>
        <v>0</v>
      </c>
      <c r="M20" s="847"/>
      <c r="N20" s="837">
        <f t="shared" si="18"/>
        <v>0</v>
      </c>
      <c r="O20" s="837">
        <v>1</v>
      </c>
      <c r="P20" s="838">
        <f t="shared" si="19"/>
        <v>0</v>
      </c>
      <c r="Q20" s="848"/>
    </row>
    <row r="21" spans="4:17" ht="14.25" customHeight="1">
      <c r="D21" s="842"/>
      <c r="E21" s="837"/>
      <c r="F21" s="837"/>
      <c r="G21" s="837"/>
      <c r="H21" s="837"/>
      <c r="I21" s="837"/>
      <c r="J21" s="837">
        <f t="shared" si="15"/>
        <v>0</v>
      </c>
      <c r="K21" s="837">
        <f t="shared" si="16"/>
        <v>0</v>
      </c>
      <c r="L21" s="837">
        <f t="shared" si="17"/>
        <v>0</v>
      </c>
      <c r="M21" s="847"/>
      <c r="N21" s="837">
        <f t="shared" si="18"/>
        <v>0</v>
      </c>
      <c r="O21" s="837">
        <v>1</v>
      </c>
      <c r="P21" s="838">
        <f t="shared" si="19"/>
        <v>0</v>
      </c>
      <c r="Q21" s="848"/>
    </row>
    <row r="22" spans="4:17" ht="14.25" customHeight="1">
      <c r="D22" s="842"/>
      <c r="E22" s="837"/>
      <c r="F22" s="837"/>
      <c r="G22" s="837"/>
      <c r="H22" s="837"/>
      <c r="I22" s="837"/>
      <c r="J22" s="837">
        <f t="shared" ref="J22:J23" si="20">E22*0.5%</f>
        <v>0</v>
      </c>
      <c r="K22" s="837">
        <f t="shared" si="16"/>
        <v>0</v>
      </c>
      <c r="L22" s="837">
        <f t="shared" si="17"/>
        <v>0</v>
      </c>
      <c r="M22" s="826"/>
      <c r="N22" s="837">
        <f t="shared" si="18"/>
        <v>0</v>
      </c>
      <c r="O22" s="837">
        <v>1</v>
      </c>
      <c r="P22" s="838">
        <f t="shared" si="19"/>
        <v>0</v>
      </c>
    </row>
    <row r="23" spans="4:17" ht="14.25" customHeight="1">
      <c r="D23" s="842"/>
      <c r="E23" s="837"/>
      <c r="F23" s="837"/>
      <c r="G23" s="837"/>
      <c r="H23" s="837"/>
      <c r="I23" s="837"/>
      <c r="J23" s="837">
        <f t="shared" si="20"/>
        <v>0</v>
      </c>
      <c r="K23" s="837">
        <f t="shared" si="16"/>
        <v>0</v>
      </c>
      <c r="L23" s="837">
        <f t="shared" si="17"/>
        <v>0</v>
      </c>
      <c r="M23" s="826"/>
      <c r="N23" s="837">
        <f t="shared" si="18"/>
        <v>0</v>
      </c>
      <c r="O23" s="837">
        <v>1</v>
      </c>
      <c r="P23" s="838">
        <f t="shared" si="19"/>
        <v>0</v>
      </c>
    </row>
    <row r="24" spans="4:17" ht="14.25" customHeight="1">
      <c r="D24" s="842"/>
      <c r="E24" s="837"/>
      <c r="F24" s="837"/>
      <c r="G24" s="837"/>
      <c r="H24" s="837"/>
      <c r="I24" s="837"/>
      <c r="J24" s="837"/>
      <c r="K24" s="837"/>
      <c r="L24" s="837"/>
      <c r="M24" s="826"/>
      <c r="N24" s="837"/>
      <c r="O24" s="837"/>
      <c r="P24" s="838">
        <f t="shared" si="19"/>
        <v>0</v>
      </c>
    </row>
    <row r="25" spans="4:17" ht="14.25" customHeight="1" thickBot="1">
      <c r="D25" s="842" t="s">
        <v>484</v>
      </c>
      <c r="E25" s="841">
        <f>SUM(E15:E24)</f>
        <v>30000</v>
      </c>
      <c r="F25" s="841">
        <f t="shared" ref="F25:N25" si="21">SUM(F15:F24)</f>
        <v>1490.8</v>
      </c>
      <c r="G25" s="841">
        <f t="shared" si="21"/>
        <v>4500</v>
      </c>
      <c r="H25" s="841">
        <f t="shared" si="21"/>
        <v>974.1</v>
      </c>
      <c r="I25" s="841">
        <f t="shared" si="21"/>
        <v>3304.2400000000002</v>
      </c>
      <c r="J25" s="841">
        <f t="shared" si="21"/>
        <v>150</v>
      </c>
      <c r="K25" s="841">
        <f t="shared" si="21"/>
        <v>180</v>
      </c>
      <c r="L25" s="841">
        <f t="shared" si="21"/>
        <v>40599.14</v>
      </c>
      <c r="M25" s="841"/>
      <c r="N25" s="841">
        <f t="shared" si="21"/>
        <v>8119.8280000000004</v>
      </c>
      <c r="O25" s="841">
        <f>SUM(O15:O24)</f>
        <v>9</v>
      </c>
      <c r="P25" s="841">
        <f>SUM(P15:P24)</f>
        <v>8119.8280000000004</v>
      </c>
    </row>
    <row r="26" spans="4:17">
      <c r="D26" s="806"/>
      <c r="E26" s="842"/>
      <c r="F26" s="843"/>
      <c r="G26" s="843"/>
      <c r="H26" s="843"/>
      <c r="I26" s="843"/>
      <c r="J26" s="843"/>
      <c r="K26" s="843"/>
      <c r="L26" s="843"/>
      <c r="M26" s="826"/>
      <c r="N26" s="826"/>
      <c r="O26" s="843"/>
      <c r="P26" s="837"/>
    </row>
    <row r="27" spans="4:17">
      <c r="D27" s="806"/>
      <c r="E27" s="842"/>
      <c r="F27" s="843"/>
      <c r="G27" s="843"/>
      <c r="H27" s="843"/>
      <c r="I27" s="843"/>
      <c r="J27" s="843"/>
      <c r="K27" s="843"/>
      <c r="L27" s="843"/>
      <c r="M27" s="826"/>
      <c r="N27" s="826"/>
      <c r="O27" s="843"/>
      <c r="P27" s="837"/>
    </row>
    <row r="28" spans="4:17">
      <c r="D28" s="806"/>
      <c r="E28" s="842"/>
      <c r="F28" s="843"/>
      <c r="G28" s="843"/>
      <c r="H28" s="843"/>
      <c r="I28" s="843"/>
      <c r="J28" s="843"/>
      <c r="K28" s="843"/>
      <c r="L28" s="843"/>
      <c r="M28" s="826"/>
      <c r="N28" s="826"/>
      <c r="O28" s="843"/>
      <c r="P28" s="837"/>
    </row>
    <row r="29" spans="4:17">
      <c r="D29" s="806"/>
      <c r="E29" s="842"/>
      <c r="F29" s="843"/>
      <c r="G29" s="849"/>
      <c r="H29" s="843"/>
      <c r="I29" s="843"/>
      <c r="J29" s="843"/>
      <c r="K29" s="843"/>
      <c r="L29" s="843"/>
      <c r="M29" s="826"/>
      <c r="N29" s="826"/>
      <c r="O29" s="843"/>
      <c r="P29" s="837"/>
    </row>
    <row r="30" spans="4:17">
      <c r="D30" s="806"/>
      <c r="E30" s="842"/>
      <c r="F30" s="843"/>
      <c r="G30" s="849"/>
      <c r="H30" s="843"/>
      <c r="I30" s="843"/>
      <c r="J30" s="843"/>
      <c r="K30" s="843"/>
      <c r="L30" s="843"/>
      <c r="M30" s="826"/>
      <c r="N30" s="826"/>
      <c r="O30" s="843"/>
      <c r="P30" s="837"/>
    </row>
    <row r="31" spans="4:17">
      <c r="D31" s="806"/>
      <c r="E31" s="842"/>
      <c r="F31" s="850"/>
      <c r="G31" s="849"/>
      <c r="H31" s="843"/>
      <c r="I31" s="843"/>
      <c r="J31" s="843"/>
      <c r="K31" s="843"/>
      <c r="L31" s="843"/>
      <c r="M31" s="826"/>
      <c r="N31" s="826"/>
      <c r="O31" s="843"/>
      <c r="P31" s="837"/>
    </row>
    <row r="32" spans="4:17">
      <c r="D32" s="806"/>
      <c r="E32" s="842"/>
      <c r="F32" s="850"/>
      <c r="G32" s="849"/>
      <c r="H32" s="843"/>
      <c r="I32" s="843"/>
      <c r="J32" s="843"/>
      <c r="K32" s="843"/>
      <c r="L32" s="843"/>
      <c r="M32" s="826"/>
      <c r="N32" s="826"/>
      <c r="O32" s="843"/>
      <c r="P32" s="837"/>
    </row>
    <row r="33" spans="4:16">
      <c r="D33" s="806"/>
      <c r="E33" s="842"/>
      <c r="F33" s="850"/>
      <c r="G33" s="849"/>
      <c r="H33" s="843"/>
      <c r="I33" s="843"/>
      <c r="J33" s="843"/>
      <c r="K33" s="843"/>
      <c r="L33" s="843"/>
      <c r="M33" s="826"/>
      <c r="N33" s="826"/>
      <c r="O33" s="843"/>
      <c r="P33" s="837"/>
    </row>
    <row r="34" spans="4:16">
      <c r="D34" s="806"/>
      <c r="E34" s="842"/>
      <c r="F34" s="843"/>
      <c r="G34" s="843"/>
      <c r="H34" s="843"/>
      <c r="I34" s="843"/>
      <c r="J34" s="843"/>
      <c r="K34" s="843"/>
      <c r="L34" s="843"/>
      <c r="M34" s="826"/>
      <c r="N34" s="826"/>
      <c r="O34" s="843"/>
      <c r="P34" s="837"/>
    </row>
    <row r="35" spans="4:16">
      <c r="D35" s="806"/>
      <c r="E35" s="842"/>
      <c r="F35" s="843"/>
      <c r="G35" s="843"/>
      <c r="H35" s="843"/>
      <c r="I35" s="843"/>
      <c r="J35" s="843"/>
      <c r="K35" s="843"/>
      <c r="L35" s="843"/>
      <c r="M35" s="826"/>
      <c r="N35" s="826"/>
      <c r="O35" s="843"/>
      <c r="P35" s="837"/>
    </row>
    <row r="93" spans="1:1" ht="76.5" customHeight="1">
      <c r="A93" s="851" t="str">
        <f>+'[29]DETAILED BUDGET'!B62</f>
        <v>1. To strengthen CSOs capacity to enhance citizens’ civic participation and state accountability for improved governance and public service delivery in Zambia.</v>
      </c>
    </row>
    <row r="122" spans="1:1" ht="189.75" customHeight="1">
      <c r="A122" s="828" t="str">
        <f>+'[29]DETAILED BUDGET'!B71</f>
        <v xml:space="preserve">2. To strengthen CSOs and citizen’s role in promoting transparency and accountability in public finance management and institutional governance systems. </v>
      </c>
    </row>
    <row r="131" ht="129.75" customHeight="1"/>
    <row r="142" ht="119.25" customHeight="1"/>
    <row r="151" ht="129" customHeight="1"/>
  </sheetData>
  <mergeCells count="1">
    <mergeCell ref="D3:F3"/>
  </mergeCells>
  <pageMargins left="0.7" right="0.7" top="0.75" bottom="0.75" header="0.3" footer="0.3"/>
  <pageSetup orientation="portrait" r:id="rId1"/>
  <customProperties>
    <customPr name="QAA_DRILLPATH_NODE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65"/>
  <sheetViews>
    <sheetView topLeftCell="A21" workbookViewId="0">
      <selection activeCell="C13" sqref="C13"/>
    </sheetView>
  </sheetViews>
  <sheetFormatPr defaultColWidth="8.81640625" defaultRowHeight="14.5"/>
  <cols>
    <col min="1" max="1" width="9.54296875" style="3" customWidth="1"/>
    <col min="2" max="2" width="50.54296875" style="6" customWidth="1"/>
    <col min="3" max="3" width="14.81640625" style="6" customWidth="1"/>
    <col min="4" max="4" width="15.54296875" style="27" customWidth="1"/>
    <col min="5" max="5" width="8.54296875" style="6" customWidth="1"/>
    <col min="6" max="6" width="21.1796875" style="27" customWidth="1"/>
    <col min="7" max="7" width="10.453125" style="6" customWidth="1"/>
    <col min="8" max="8" width="17.453125" style="27" customWidth="1"/>
    <col min="9" max="9" width="11.1796875" style="6" customWidth="1"/>
    <col min="10" max="10" width="17.453125" style="27" customWidth="1"/>
    <col min="11" max="11" width="9.453125" style="6" customWidth="1"/>
    <col min="12" max="12" width="17.453125" style="27" customWidth="1"/>
    <col min="13" max="13" width="10.453125" style="6" customWidth="1"/>
    <col min="14" max="14" width="19.453125" style="27" customWidth="1"/>
    <col min="15" max="15" width="17.453125" style="6" customWidth="1"/>
    <col min="16" max="16" width="43.81640625" style="8" customWidth="1"/>
    <col min="17" max="17" width="10.453125" style="4" customWidth="1"/>
    <col min="18" max="18" width="13.453125" style="4" customWidth="1"/>
    <col min="19" max="20" width="21.453125" style="6" customWidth="1"/>
    <col min="21" max="22" width="22" style="6" customWidth="1"/>
    <col min="23" max="24" width="22.453125" style="6" customWidth="1"/>
    <col min="25" max="26" width="22.81640625" style="6" customWidth="1"/>
    <col min="27" max="27" width="19.453125" style="6" customWidth="1"/>
    <col min="28" max="28" width="23.453125" style="4" customWidth="1"/>
    <col min="29" max="29" width="17.453125" style="27" customWidth="1"/>
    <col min="30" max="30" width="16" style="27" customWidth="1"/>
    <col min="31" max="32" width="17.453125" style="27" customWidth="1"/>
    <col min="33" max="33" width="16.453125" style="27" customWidth="1"/>
    <col min="34" max="34" width="9.1796875" style="4" customWidth="1"/>
    <col min="35" max="35" width="22.453125" style="23" customWidth="1"/>
    <col min="36" max="36" width="22.1796875" style="23" customWidth="1"/>
    <col min="37" max="38" width="17.453125" style="23" customWidth="1"/>
    <col min="39" max="39" width="18.1796875" style="23" customWidth="1"/>
    <col min="40" max="40" width="18.453125" style="3" customWidth="1"/>
    <col min="41" max="213" width="8.81640625" style="3"/>
    <col min="214" max="214" width="1.453125" style="3" customWidth="1"/>
    <col min="215" max="215" width="51.453125" style="3" customWidth="1"/>
    <col min="216" max="216" width="12.453125" style="3" customWidth="1"/>
    <col min="217" max="217" width="21.453125" style="3" customWidth="1"/>
    <col min="218" max="218" width="12.453125" style="3" customWidth="1"/>
    <col min="219" max="219" width="14.453125" style="3" customWidth="1"/>
    <col min="220" max="220" width="15.1796875" style="3" customWidth="1"/>
    <col min="221" max="221" width="12.453125" style="3" customWidth="1"/>
    <col min="222" max="222" width="13" style="3" customWidth="1"/>
    <col min="223" max="223" width="14.54296875" style="3" customWidth="1"/>
    <col min="224" max="224" width="44.453125" style="3" customWidth="1"/>
    <col min="225" max="225" width="34.54296875" style="3" customWidth="1"/>
    <col min="226" max="226" width="37.453125" style="3" customWidth="1"/>
    <col min="227" max="227" width="19.81640625" style="3" customWidth="1"/>
    <col min="228" max="252" width="8.81640625" style="3"/>
    <col min="253" max="253" width="9.54296875" style="3" customWidth="1"/>
    <col min="254" max="254" width="50.54296875" style="3" customWidth="1"/>
    <col min="255" max="255" width="14.81640625" style="3" customWidth="1"/>
    <col min="256" max="256" width="15.54296875" style="3" customWidth="1"/>
    <col min="257" max="257" width="8.54296875" style="3" customWidth="1"/>
    <col min="258" max="258" width="21.1796875" style="3" customWidth="1"/>
    <col min="259" max="259" width="10.453125" style="3" customWidth="1"/>
    <col min="260" max="260" width="17.453125" style="3" customWidth="1"/>
    <col min="261" max="261" width="11.1796875" style="3" customWidth="1"/>
    <col min="262" max="262" width="17.453125" style="3" customWidth="1"/>
    <col min="263" max="263" width="9.453125" style="3" customWidth="1"/>
    <col min="264" max="264" width="17.453125" style="3" customWidth="1"/>
    <col min="265" max="265" width="10.453125" style="3" customWidth="1"/>
    <col min="266" max="266" width="19.453125" style="3" customWidth="1"/>
    <col min="267" max="267" width="17.453125" style="3" customWidth="1"/>
    <col min="268" max="268" width="43.81640625" style="3" customWidth="1"/>
    <col min="269" max="269" width="10.453125" style="3" customWidth="1"/>
    <col min="270" max="270" width="13.453125" style="3" customWidth="1"/>
    <col min="271" max="272" width="21.453125" style="3" customWidth="1"/>
    <col min="273" max="274" width="22" style="3" customWidth="1"/>
    <col min="275" max="276" width="22.453125" style="3" customWidth="1"/>
    <col min="277" max="278" width="22.81640625" style="3" customWidth="1"/>
    <col min="279" max="279" width="19.453125" style="3" customWidth="1"/>
    <col min="280" max="280" width="8.81640625" style="3"/>
    <col min="281" max="281" width="17.453125" style="3" customWidth="1"/>
    <col min="282" max="282" width="16" style="3" customWidth="1"/>
    <col min="283" max="284" width="17.453125" style="3" customWidth="1"/>
    <col min="285" max="285" width="16.453125" style="3" customWidth="1"/>
    <col min="286" max="286" width="8.81640625" style="3"/>
    <col min="287" max="287" width="22.453125" style="3" customWidth="1"/>
    <col min="288" max="288" width="22.1796875" style="3" customWidth="1"/>
    <col min="289" max="290" width="17.453125" style="3" customWidth="1"/>
    <col min="291" max="291" width="18.1796875" style="3" customWidth="1"/>
    <col min="292" max="469" width="8.81640625" style="3"/>
    <col min="470" max="470" width="1.453125" style="3" customWidth="1"/>
    <col min="471" max="471" width="51.453125" style="3" customWidth="1"/>
    <col min="472" max="472" width="12.453125" style="3" customWidth="1"/>
    <col min="473" max="473" width="21.453125" style="3" customWidth="1"/>
    <col min="474" max="474" width="12.453125" style="3" customWidth="1"/>
    <col min="475" max="475" width="14.453125" style="3" customWidth="1"/>
    <col min="476" max="476" width="15.1796875" style="3" customWidth="1"/>
    <col min="477" max="477" width="12.453125" style="3" customWidth="1"/>
    <col min="478" max="478" width="13" style="3" customWidth="1"/>
    <col min="479" max="479" width="14.54296875" style="3" customWidth="1"/>
    <col min="480" max="480" width="44.453125" style="3" customWidth="1"/>
    <col min="481" max="481" width="34.54296875" style="3" customWidth="1"/>
    <col min="482" max="482" width="37.453125" style="3" customWidth="1"/>
    <col min="483" max="483" width="19.81640625" style="3" customWidth="1"/>
    <col min="484" max="508" width="8.81640625" style="3"/>
    <col min="509" max="509" width="9.54296875" style="3" customWidth="1"/>
    <col min="510" max="510" width="50.54296875" style="3" customWidth="1"/>
    <col min="511" max="511" width="14.81640625" style="3" customWidth="1"/>
    <col min="512" max="512" width="15.54296875" style="3" customWidth="1"/>
    <col min="513" max="513" width="8.54296875" style="3" customWidth="1"/>
    <col min="514" max="514" width="21.1796875" style="3" customWidth="1"/>
    <col min="515" max="515" width="10.453125" style="3" customWidth="1"/>
    <col min="516" max="516" width="17.453125" style="3" customWidth="1"/>
    <col min="517" max="517" width="11.1796875" style="3" customWidth="1"/>
    <col min="518" max="518" width="17.453125" style="3" customWidth="1"/>
    <col min="519" max="519" width="9.453125" style="3" customWidth="1"/>
    <col min="520" max="520" width="17.453125" style="3" customWidth="1"/>
    <col min="521" max="521" width="10.453125" style="3" customWidth="1"/>
    <col min="522" max="522" width="19.453125" style="3" customWidth="1"/>
    <col min="523" max="523" width="17.453125" style="3" customWidth="1"/>
    <col min="524" max="524" width="43.81640625" style="3" customWidth="1"/>
    <col min="525" max="525" width="10.453125" style="3" customWidth="1"/>
    <col min="526" max="526" width="13.453125" style="3" customWidth="1"/>
    <col min="527" max="528" width="21.453125" style="3" customWidth="1"/>
    <col min="529" max="530" width="22" style="3" customWidth="1"/>
    <col min="531" max="532" width="22.453125" style="3" customWidth="1"/>
    <col min="533" max="534" width="22.81640625" style="3" customWidth="1"/>
    <col min="535" max="535" width="19.453125" style="3" customWidth="1"/>
    <col min="536" max="536" width="8.81640625" style="3"/>
    <col min="537" max="537" width="17.453125" style="3" customWidth="1"/>
    <col min="538" max="538" width="16" style="3" customWidth="1"/>
    <col min="539" max="540" width="17.453125" style="3" customWidth="1"/>
    <col min="541" max="541" width="16.453125" style="3" customWidth="1"/>
    <col min="542" max="542" width="8.81640625" style="3"/>
    <col min="543" max="543" width="22.453125" style="3" customWidth="1"/>
    <col min="544" max="544" width="22.1796875" style="3" customWidth="1"/>
    <col min="545" max="546" width="17.453125" style="3" customWidth="1"/>
    <col min="547" max="547" width="18.1796875" style="3" customWidth="1"/>
    <col min="548" max="725" width="8.81640625" style="3"/>
    <col min="726" max="726" width="1.453125" style="3" customWidth="1"/>
    <col min="727" max="727" width="51.453125" style="3" customWidth="1"/>
    <col min="728" max="728" width="12.453125" style="3" customWidth="1"/>
    <col min="729" max="729" width="21.453125" style="3" customWidth="1"/>
    <col min="730" max="730" width="12.453125" style="3" customWidth="1"/>
    <col min="731" max="731" width="14.453125" style="3" customWidth="1"/>
    <col min="732" max="732" width="15.1796875" style="3" customWidth="1"/>
    <col min="733" max="733" width="12.453125" style="3" customWidth="1"/>
    <col min="734" max="734" width="13" style="3" customWidth="1"/>
    <col min="735" max="735" width="14.54296875" style="3" customWidth="1"/>
    <col min="736" max="736" width="44.453125" style="3" customWidth="1"/>
    <col min="737" max="737" width="34.54296875" style="3" customWidth="1"/>
    <col min="738" max="738" width="37.453125" style="3" customWidth="1"/>
    <col min="739" max="739" width="19.81640625" style="3" customWidth="1"/>
    <col min="740" max="764" width="8.81640625" style="3"/>
    <col min="765" max="765" width="9.54296875" style="3" customWidth="1"/>
    <col min="766" max="766" width="50.54296875" style="3" customWidth="1"/>
    <col min="767" max="767" width="14.81640625" style="3" customWidth="1"/>
    <col min="768" max="768" width="15.54296875" style="3" customWidth="1"/>
    <col min="769" max="769" width="8.54296875" style="3" customWidth="1"/>
    <col min="770" max="770" width="21.1796875" style="3" customWidth="1"/>
    <col min="771" max="771" width="10.453125" style="3" customWidth="1"/>
    <col min="772" max="772" width="17.453125" style="3" customWidth="1"/>
    <col min="773" max="773" width="11.1796875" style="3" customWidth="1"/>
    <col min="774" max="774" width="17.453125" style="3" customWidth="1"/>
    <col min="775" max="775" width="9.453125" style="3" customWidth="1"/>
    <col min="776" max="776" width="17.453125" style="3" customWidth="1"/>
    <col min="777" max="777" width="10.453125" style="3" customWidth="1"/>
    <col min="778" max="778" width="19.453125" style="3" customWidth="1"/>
    <col min="779" max="779" width="17.453125" style="3" customWidth="1"/>
    <col min="780" max="780" width="43.81640625" style="3" customWidth="1"/>
    <col min="781" max="781" width="10.453125" style="3" customWidth="1"/>
    <col min="782" max="782" width="13.453125" style="3" customWidth="1"/>
    <col min="783" max="784" width="21.453125" style="3" customWidth="1"/>
    <col min="785" max="786" width="22" style="3" customWidth="1"/>
    <col min="787" max="788" width="22.453125" style="3" customWidth="1"/>
    <col min="789" max="790" width="22.81640625" style="3" customWidth="1"/>
    <col min="791" max="791" width="19.453125" style="3" customWidth="1"/>
    <col min="792" max="792" width="8.81640625" style="3"/>
    <col min="793" max="793" width="17.453125" style="3" customWidth="1"/>
    <col min="794" max="794" width="16" style="3" customWidth="1"/>
    <col min="795" max="796" width="17.453125" style="3" customWidth="1"/>
    <col min="797" max="797" width="16.453125" style="3" customWidth="1"/>
    <col min="798" max="798" width="8.81640625" style="3"/>
    <col min="799" max="799" width="22.453125" style="3" customWidth="1"/>
    <col min="800" max="800" width="22.1796875" style="3" customWidth="1"/>
    <col min="801" max="802" width="17.453125" style="3" customWidth="1"/>
    <col min="803" max="803" width="18.1796875" style="3" customWidth="1"/>
    <col min="804" max="981" width="8.81640625" style="3"/>
    <col min="982" max="982" width="1.453125" style="3" customWidth="1"/>
    <col min="983" max="983" width="51.453125" style="3" customWidth="1"/>
    <col min="984" max="984" width="12.453125" style="3" customWidth="1"/>
    <col min="985" max="985" width="21.453125" style="3" customWidth="1"/>
    <col min="986" max="986" width="12.453125" style="3" customWidth="1"/>
    <col min="987" max="987" width="14.453125" style="3" customWidth="1"/>
    <col min="988" max="988" width="15.1796875" style="3" customWidth="1"/>
    <col min="989" max="989" width="12.453125" style="3" customWidth="1"/>
    <col min="990" max="990" width="13" style="3" customWidth="1"/>
    <col min="991" max="991" width="14.54296875" style="3" customWidth="1"/>
    <col min="992" max="992" width="44.453125" style="3" customWidth="1"/>
    <col min="993" max="993" width="34.54296875" style="3" customWidth="1"/>
    <col min="994" max="994" width="37.453125" style="3" customWidth="1"/>
    <col min="995" max="995" width="19.81640625" style="3" customWidth="1"/>
    <col min="996" max="1020" width="8.81640625" style="3"/>
    <col min="1021" max="1021" width="9.54296875" style="3" customWidth="1"/>
    <col min="1022" max="1022" width="50.54296875" style="3" customWidth="1"/>
    <col min="1023" max="1023" width="14.81640625" style="3" customWidth="1"/>
    <col min="1024" max="1024" width="15.54296875" style="3" customWidth="1"/>
    <col min="1025" max="1025" width="8.54296875" style="3" customWidth="1"/>
    <col min="1026" max="1026" width="21.1796875" style="3" customWidth="1"/>
    <col min="1027" max="1027" width="10.453125" style="3" customWidth="1"/>
    <col min="1028" max="1028" width="17.453125" style="3" customWidth="1"/>
    <col min="1029" max="1029" width="11.1796875" style="3" customWidth="1"/>
    <col min="1030" max="1030" width="17.453125" style="3" customWidth="1"/>
    <col min="1031" max="1031" width="9.453125" style="3" customWidth="1"/>
    <col min="1032" max="1032" width="17.453125" style="3" customWidth="1"/>
    <col min="1033" max="1033" width="10.453125" style="3" customWidth="1"/>
    <col min="1034" max="1034" width="19.453125" style="3" customWidth="1"/>
    <col min="1035" max="1035" width="17.453125" style="3" customWidth="1"/>
    <col min="1036" max="1036" width="43.81640625" style="3" customWidth="1"/>
    <col min="1037" max="1037" width="10.453125" style="3" customWidth="1"/>
    <col min="1038" max="1038" width="13.453125" style="3" customWidth="1"/>
    <col min="1039" max="1040" width="21.453125" style="3" customWidth="1"/>
    <col min="1041" max="1042" width="22" style="3" customWidth="1"/>
    <col min="1043" max="1044" width="22.453125" style="3" customWidth="1"/>
    <col min="1045" max="1046" width="22.81640625" style="3" customWidth="1"/>
    <col min="1047" max="1047" width="19.453125" style="3" customWidth="1"/>
    <col min="1048" max="1048" width="8.81640625" style="3"/>
    <col min="1049" max="1049" width="17.453125" style="3" customWidth="1"/>
    <col min="1050" max="1050" width="16" style="3" customWidth="1"/>
    <col min="1051" max="1052" width="17.453125" style="3" customWidth="1"/>
    <col min="1053" max="1053" width="16.453125" style="3" customWidth="1"/>
    <col min="1054" max="1054" width="8.81640625" style="3"/>
    <col min="1055" max="1055" width="22.453125" style="3" customWidth="1"/>
    <col min="1056" max="1056" width="22.1796875" style="3" customWidth="1"/>
    <col min="1057" max="1058" width="17.453125" style="3" customWidth="1"/>
    <col min="1059" max="1059" width="18.1796875" style="3" customWidth="1"/>
    <col min="1060" max="1237" width="8.81640625" style="3"/>
    <col min="1238" max="1238" width="1.453125" style="3" customWidth="1"/>
    <col min="1239" max="1239" width="51.453125" style="3" customWidth="1"/>
    <col min="1240" max="1240" width="12.453125" style="3" customWidth="1"/>
    <col min="1241" max="1241" width="21.453125" style="3" customWidth="1"/>
    <col min="1242" max="1242" width="12.453125" style="3" customWidth="1"/>
    <col min="1243" max="1243" width="14.453125" style="3" customWidth="1"/>
    <col min="1244" max="1244" width="15.1796875" style="3" customWidth="1"/>
    <col min="1245" max="1245" width="12.453125" style="3" customWidth="1"/>
    <col min="1246" max="1246" width="13" style="3" customWidth="1"/>
    <col min="1247" max="1247" width="14.54296875" style="3" customWidth="1"/>
    <col min="1248" max="1248" width="44.453125" style="3" customWidth="1"/>
    <col min="1249" max="1249" width="34.54296875" style="3" customWidth="1"/>
    <col min="1250" max="1250" width="37.453125" style="3" customWidth="1"/>
    <col min="1251" max="1251" width="19.81640625" style="3" customWidth="1"/>
    <col min="1252" max="1276" width="8.81640625" style="3"/>
    <col min="1277" max="1277" width="9.54296875" style="3" customWidth="1"/>
    <col min="1278" max="1278" width="50.54296875" style="3" customWidth="1"/>
    <col min="1279" max="1279" width="14.81640625" style="3" customWidth="1"/>
    <col min="1280" max="1280" width="15.54296875" style="3" customWidth="1"/>
    <col min="1281" max="1281" width="8.54296875" style="3" customWidth="1"/>
    <col min="1282" max="1282" width="21.1796875" style="3" customWidth="1"/>
    <col min="1283" max="1283" width="10.453125" style="3" customWidth="1"/>
    <col min="1284" max="1284" width="17.453125" style="3" customWidth="1"/>
    <col min="1285" max="1285" width="11.1796875" style="3" customWidth="1"/>
    <col min="1286" max="1286" width="17.453125" style="3" customWidth="1"/>
    <col min="1287" max="1287" width="9.453125" style="3" customWidth="1"/>
    <col min="1288" max="1288" width="17.453125" style="3" customWidth="1"/>
    <col min="1289" max="1289" width="10.453125" style="3" customWidth="1"/>
    <col min="1290" max="1290" width="19.453125" style="3" customWidth="1"/>
    <col min="1291" max="1291" width="17.453125" style="3" customWidth="1"/>
    <col min="1292" max="1292" width="43.81640625" style="3" customWidth="1"/>
    <col min="1293" max="1293" width="10.453125" style="3" customWidth="1"/>
    <col min="1294" max="1294" width="13.453125" style="3" customWidth="1"/>
    <col min="1295" max="1296" width="21.453125" style="3" customWidth="1"/>
    <col min="1297" max="1298" width="22" style="3" customWidth="1"/>
    <col min="1299" max="1300" width="22.453125" style="3" customWidth="1"/>
    <col min="1301" max="1302" width="22.81640625" style="3" customWidth="1"/>
    <col min="1303" max="1303" width="19.453125" style="3" customWidth="1"/>
    <col min="1304" max="1304" width="8.81640625" style="3"/>
    <col min="1305" max="1305" width="17.453125" style="3" customWidth="1"/>
    <col min="1306" max="1306" width="16" style="3" customWidth="1"/>
    <col min="1307" max="1308" width="17.453125" style="3" customWidth="1"/>
    <col min="1309" max="1309" width="16.453125" style="3" customWidth="1"/>
    <col min="1310" max="1310" width="8.81640625" style="3"/>
    <col min="1311" max="1311" width="22.453125" style="3" customWidth="1"/>
    <col min="1312" max="1312" width="22.1796875" style="3" customWidth="1"/>
    <col min="1313" max="1314" width="17.453125" style="3" customWidth="1"/>
    <col min="1315" max="1315" width="18.1796875" style="3" customWidth="1"/>
    <col min="1316" max="1493" width="8.81640625" style="3"/>
    <col min="1494" max="1494" width="1.453125" style="3" customWidth="1"/>
    <col min="1495" max="1495" width="51.453125" style="3" customWidth="1"/>
    <col min="1496" max="1496" width="12.453125" style="3" customWidth="1"/>
    <col min="1497" max="1497" width="21.453125" style="3" customWidth="1"/>
    <col min="1498" max="1498" width="12.453125" style="3" customWidth="1"/>
    <col min="1499" max="1499" width="14.453125" style="3" customWidth="1"/>
    <col min="1500" max="1500" width="15.1796875" style="3" customWidth="1"/>
    <col min="1501" max="1501" width="12.453125" style="3" customWidth="1"/>
    <col min="1502" max="1502" width="13" style="3" customWidth="1"/>
    <col min="1503" max="1503" width="14.54296875" style="3" customWidth="1"/>
    <col min="1504" max="1504" width="44.453125" style="3" customWidth="1"/>
    <col min="1505" max="1505" width="34.54296875" style="3" customWidth="1"/>
    <col min="1506" max="1506" width="37.453125" style="3" customWidth="1"/>
    <col min="1507" max="1507" width="19.81640625" style="3" customWidth="1"/>
    <col min="1508" max="1532" width="8.81640625" style="3"/>
    <col min="1533" max="1533" width="9.54296875" style="3" customWidth="1"/>
    <col min="1534" max="1534" width="50.54296875" style="3" customWidth="1"/>
    <col min="1535" max="1535" width="14.81640625" style="3" customWidth="1"/>
    <col min="1536" max="1536" width="15.54296875" style="3" customWidth="1"/>
    <col min="1537" max="1537" width="8.54296875" style="3" customWidth="1"/>
    <col min="1538" max="1538" width="21.1796875" style="3" customWidth="1"/>
    <col min="1539" max="1539" width="10.453125" style="3" customWidth="1"/>
    <col min="1540" max="1540" width="17.453125" style="3" customWidth="1"/>
    <col min="1541" max="1541" width="11.1796875" style="3" customWidth="1"/>
    <col min="1542" max="1542" width="17.453125" style="3" customWidth="1"/>
    <col min="1543" max="1543" width="9.453125" style="3" customWidth="1"/>
    <col min="1544" max="1544" width="17.453125" style="3" customWidth="1"/>
    <col min="1545" max="1545" width="10.453125" style="3" customWidth="1"/>
    <col min="1546" max="1546" width="19.453125" style="3" customWidth="1"/>
    <col min="1547" max="1547" width="17.453125" style="3" customWidth="1"/>
    <col min="1548" max="1548" width="43.81640625" style="3" customWidth="1"/>
    <col min="1549" max="1549" width="10.453125" style="3" customWidth="1"/>
    <col min="1550" max="1550" width="13.453125" style="3" customWidth="1"/>
    <col min="1551" max="1552" width="21.453125" style="3" customWidth="1"/>
    <col min="1553" max="1554" width="22" style="3" customWidth="1"/>
    <col min="1555" max="1556" width="22.453125" style="3" customWidth="1"/>
    <col min="1557" max="1558" width="22.81640625" style="3" customWidth="1"/>
    <col min="1559" max="1559" width="19.453125" style="3" customWidth="1"/>
    <col min="1560" max="1560" width="8.81640625" style="3"/>
    <col min="1561" max="1561" width="17.453125" style="3" customWidth="1"/>
    <col min="1562" max="1562" width="16" style="3" customWidth="1"/>
    <col min="1563" max="1564" width="17.453125" style="3" customWidth="1"/>
    <col min="1565" max="1565" width="16.453125" style="3" customWidth="1"/>
    <col min="1566" max="1566" width="8.81640625" style="3"/>
    <col min="1567" max="1567" width="22.453125" style="3" customWidth="1"/>
    <col min="1568" max="1568" width="22.1796875" style="3" customWidth="1"/>
    <col min="1569" max="1570" width="17.453125" style="3" customWidth="1"/>
    <col min="1571" max="1571" width="18.1796875" style="3" customWidth="1"/>
    <col min="1572" max="1749" width="8.81640625" style="3"/>
    <col min="1750" max="1750" width="1.453125" style="3" customWidth="1"/>
    <col min="1751" max="1751" width="51.453125" style="3" customWidth="1"/>
    <col min="1752" max="1752" width="12.453125" style="3" customWidth="1"/>
    <col min="1753" max="1753" width="21.453125" style="3" customWidth="1"/>
    <col min="1754" max="1754" width="12.453125" style="3" customWidth="1"/>
    <col min="1755" max="1755" width="14.453125" style="3" customWidth="1"/>
    <col min="1756" max="1756" width="15.1796875" style="3" customWidth="1"/>
    <col min="1757" max="1757" width="12.453125" style="3" customWidth="1"/>
    <col min="1758" max="1758" width="13" style="3" customWidth="1"/>
    <col min="1759" max="1759" width="14.54296875" style="3" customWidth="1"/>
    <col min="1760" max="1760" width="44.453125" style="3" customWidth="1"/>
    <col min="1761" max="1761" width="34.54296875" style="3" customWidth="1"/>
    <col min="1762" max="1762" width="37.453125" style="3" customWidth="1"/>
    <col min="1763" max="1763" width="19.81640625" style="3" customWidth="1"/>
    <col min="1764" max="1788" width="8.81640625" style="3"/>
    <col min="1789" max="1789" width="9.54296875" style="3" customWidth="1"/>
    <col min="1790" max="1790" width="50.54296875" style="3" customWidth="1"/>
    <col min="1791" max="1791" width="14.81640625" style="3" customWidth="1"/>
    <col min="1792" max="1792" width="15.54296875" style="3" customWidth="1"/>
    <col min="1793" max="1793" width="8.54296875" style="3" customWidth="1"/>
    <col min="1794" max="1794" width="21.1796875" style="3" customWidth="1"/>
    <col min="1795" max="1795" width="10.453125" style="3" customWidth="1"/>
    <col min="1796" max="1796" width="17.453125" style="3" customWidth="1"/>
    <col min="1797" max="1797" width="11.1796875" style="3" customWidth="1"/>
    <col min="1798" max="1798" width="17.453125" style="3" customWidth="1"/>
    <col min="1799" max="1799" width="9.453125" style="3" customWidth="1"/>
    <col min="1800" max="1800" width="17.453125" style="3" customWidth="1"/>
    <col min="1801" max="1801" width="10.453125" style="3" customWidth="1"/>
    <col min="1802" max="1802" width="19.453125" style="3" customWidth="1"/>
    <col min="1803" max="1803" width="17.453125" style="3" customWidth="1"/>
    <col min="1804" max="1804" width="43.81640625" style="3" customWidth="1"/>
    <col min="1805" max="1805" width="10.453125" style="3" customWidth="1"/>
    <col min="1806" max="1806" width="13.453125" style="3" customWidth="1"/>
    <col min="1807" max="1808" width="21.453125" style="3" customWidth="1"/>
    <col min="1809" max="1810" width="22" style="3" customWidth="1"/>
    <col min="1811" max="1812" width="22.453125" style="3" customWidth="1"/>
    <col min="1813" max="1814" width="22.81640625" style="3" customWidth="1"/>
    <col min="1815" max="1815" width="19.453125" style="3" customWidth="1"/>
    <col min="1816" max="1816" width="8.81640625" style="3"/>
    <col min="1817" max="1817" width="17.453125" style="3" customWidth="1"/>
    <col min="1818" max="1818" width="16" style="3" customWidth="1"/>
    <col min="1819" max="1820" width="17.453125" style="3" customWidth="1"/>
    <col min="1821" max="1821" width="16.453125" style="3" customWidth="1"/>
    <col min="1822" max="1822" width="8.81640625" style="3"/>
    <col min="1823" max="1823" width="22.453125" style="3" customWidth="1"/>
    <col min="1824" max="1824" width="22.1796875" style="3" customWidth="1"/>
    <col min="1825" max="1826" width="17.453125" style="3" customWidth="1"/>
    <col min="1827" max="1827" width="18.1796875" style="3" customWidth="1"/>
    <col min="1828" max="2005" width="8.81640625" style="3"/>
    <col min="2006" max="2006" width="1.453125" style="3" customWidth="1"/>
    <col min="2007" max="2007" width="51.453125" style="3" customWidth="1"/>
    <col min="2008" max="2008" width="12.453125" style="3" customWidth="1"/>
    <col min="2009" max="2009" width="21.453125" style="3" customWidth="1"/>
    <col min="2010" max="2010" width="12.453125" style="3" customWidth="1"/>
    <col min="2011" max="2011" width="14.453125" style="3" customWidth="1"/>
    <col min="2012" max="2012" width="15.1796875" style="3" customWidth="1"/>
    <col min="2013" max="2013" width="12.453125" style="3" customWidth="1"/>
    <col min="2014" max="2014" width="13" style="3" customWidth="1"/>
    <col min="2015" max="2015" width="14.54296875" style="3" customWidth="1"/>
    <col min="2016" max="2016" width="44.453125" style="3" customWidth="1"/>
    <col min="2017" max="2017" width="34.54296875" style="3" customWidth="1"/>
    <col min="2018" max="2018" width="37.453125" style="3" customWidth="1"/>
    <col min="2019" max="2019" width="19.81640625" style="3" customWidth="1"/>
    <col min="2020" max="2044" width="8.81640625" style="3"/>
    <col min="2045" max="2045" width="9.54296875" style="3" customWidth="1"/>
    <col min="2046" max="2046" width="50.54296875" style="3" customWidth="1"/>
    <col min="2047" max="2047" width="14.81640625" style="3" customWidth="1"/>
    <col min="2048" max="2048" width="15.54296875" style="3" customWidth="1"/>
    <col min="2049" max="2049" width="8.54296875" style="3" customWidth="1"/>
    <col min="2050" max="2050" width="21.1796875" style="3" customWidth="1"/>
    <col min="2051" max="2051" width="10.453125" style="3" customWidth="1"/>
    <col min="2052" max="2052" width="17.453125" style="3" customWidth="1"/>
    <col min="2053" max="2053" width="11.1796875" style="3" customWidth="1"/>
    <col min="2054" max="2054" width="17.453125" style="3" customWidth="1"/>
    <col min="2055" max="2055" width="9.453125" style="3" customWidth="1"/>
    <col min="2056" max="2056" width="17.453125" style="3" customWidth="1"/>
    <col min="2057" max="2057" width="10.453125" style="3" customWidth="1"/>
    <col min="2058" max="2058" width="19.453125" style="3" customWidth="1"/>
    <col min="2059" max="2059" width="17.453125" style="3" customWidth="1"/>
    <col min="2060" max="2060" width="43.81640625" style="3" customWidth="1"/>
    <col min="2061" max="2061" width="10.453125" style="3" customWidth="1"/>
    <col min="2062" max="2062" width="13.453125" style="3" customWidth="1"/>
    <col min="2063" max="2064" width="21.453125" style="3" customWidth="1"/>
    <col min="2065" max="2066" width="22" style="3" customWidth="1"/>
    <col min="2067" max="2068" width="22.453125" style="3" customWidth="1"/>
    <col min="2069" max="2070" width="22.81640625" style="3" customWidth="1"/>
    <col min="2071" max="2071" width="19.453125" style="3" customWidth="1"/>
    <col min="2072" max="2072" width="8.81640625" style="3"/>
    <col min="2073" max="2073" width="17.453125" style="3" customWidth="1"/>
    <col min="2074" max="2074" width="16" style="3" customWidth="1"/>
    <col min="2075" max="2076" width="17.453125" style="3" customWidth="1"/>
    <col min="2077" max="2077" width="16.453125" style="3" customWidth="1"/>
    <col min="2078" max="2078" width="8.81640625" style="3"/>
    <col min="2079" max="2079" width="22.453125" style="3" customWidth="1"/>
    <col min="2080" max="2080" width="22.1796875" style="3" customWidth="1"/>
    <col min="2081" max="2082" width="17.453125" style="3" customWidth="1"/>
    <col min="2083" max="2083" width="18.1796875" style="3" customWidth="1"/>
    <col min="2084" max="2261" width="8.81640625" style="3"/>
    <col min="2262" max="2262" width="1.453125" style="3" customWidth="1"/>
    <col min="2263" max="2263" width="51.453125" style="3" customWidth="1"/>
    <col min="2264" max="2264" width="12.453125" style="3" customWidth="1"/>
    <col min="2265" max="2265" width="21.453125" style="3" customWidth="1"/>
    <col min="2266" max="2266" width="12.453125" style="3" customWidth="1"/>
    <col min="2267" max="2267" width="14.453125" style="3" customWidth="1"/>
    <col min="2268" max="2268" width="15.1796875" style="3" customWidth="1"/>
    <col min="2269" max="2269" width="12.453125" style="3" customWidth="1"/>
    <col min="2270" max="2270" width="13" style="3" customWidth="1"/>
    <col min="2271" max="2271" width="14.54296875" style="3" customWidth="1"/>
    <col min="2272" max="2272" width="44.453125" style="3" customWidth="1"/>
    <col min="2273" max="2273" width="34.54296875" style="3" customWidth="1"/>
    <col min="2274" max="2274" width="37.453125" style="3" customWidth="1"/>
    <col min="2275" max="2275" width="19.81640625" style="3" customWidth="1"/>
    <col min="2276" max="2300" width="8.81640625" style="3"/>
    <col min="2301" max="2301" width="9.54296875" style="3" customWidth="1"/>
    <col min="2302" max="2302" width="50.54296875" style="3" customWidth="1"/>
    <col min="2303" max="2303" width="14.81640625" style="3" customWidth="1"/>
    <col min="2304" max="2304" width="15.54296875" style="3" customWidth="1"/>
    <col min="2305" max="2305" width="8.54296875" style="3" customWidth="1"/>
    <col min="2306" max="2306" width="21.1796875" style="3" customWidth="1"/>
    <col min="2307" max="2307" width="10.453125" style="3" customWidth="1"/>
    <col min="2308" max="2308" width="17.453125" style="3" customWidth="1"/>
    <col min="2309" max="2309" width="11.1796875" style="3" customWidth="1"/>
    <col min="2310" max="2310" width="17.453125" style="3" customWidth="1"/>
    <col min="2311" max="2311" width="9.453125" style="3" customWidth="1"/>
    <col min="2312" max="2312" width="17.453125" style="3" customWidth="1"/>
    <col min="2313" max="2313" width="10.453125" style="3" customWidth="1"/>
    <col min="2314" max="2314" width="19.453125" style="3" customWidth="1"/>
    <col min="2315" max="2315" width="17.453125" style="3" customWidth="1"/>
    <col min="2316" max="2316" width="43.81640625" style="3" customWidth="1"/>
    <col min="2317" max="2317" width="10.453125" style="3" customWidth="1"/>
    <col min="2318" max="2318" width="13.453125" style="3" customWidth="1"/>
    <col min="2319" max="2320" width="21.453125" style="3" customWidth="1"/>
    <col min="2321" max="2322" width="22" style="3" customWidth="1"/>
    <col min="2323" max="2324" width="22.453125" style="3" customWidth="1"/>
    <col min="2325" max="2326" width="22.81640625" style="3" customWidth="1"/>
    <col min="2327" max="2327" width="19.453125" style="3" customWidth="1"/>
    <col min="2328" max="2328" width="8.81640625" style="3"/>
    <col min="2329" max="2329" width="17.453125" style="3" customWidth="1"/>
    <col min="2330" max="2330" width="16" style="3" customWidth="1"/>
    <col min="2331" max="2332" width="17.453125" style="3" customWidth="1"/>
    <col min="2333" max="2333" width="16.453125" style="3" customWidth="1"/>
    <col min="2334" max="2334" width="8.81640625" style="3"/>
    <col min="2335" max="2335" width="22.453125" style="3" customWidth="1"/>
    <col min="2336" max="2336" width="22.1796875" style="3" customWidth="1"/>
    <col min="2337" max="2338" width="17.453125" style="3" customWidth="1"/>
    <col min="2339" max="2339" width="18.1796875" style="3" customWidth="1"/>
    <col min="2340" max="2517" width="8.81640625" style="3"/>
    <col min="2518" max="2518" width="1.453125" style="3" customWidth="1"/>
    <col min="2519" max="2519" width="51.453125" style="3" customWidth="1"/>
    <col min="2520" max="2520" width="12.453125" style="3" customWidth="1"/>
    <col min="2521" max="2521" width="21.453125" style="3" customWidth="1"/>
    <col min="2522" max="2522" width="12.453125" style="3" customWidth="1"/>
    <col min="2523" max="2523" width="14.453125" style="3" customWidth="1"/>
    <col min="2524" max="2524" width="15.1796875" style="3" customWidth="1"/>
    <col min="2525" max="2525" width="12.453125" style="3" customWidth="1"/>
    <col min="2526" max="2526" width="13" style="3" customWidth="1"/>
    <col min="2527" max="2527" width="14.54296875" style="3" customWidth="1"/>
    <col min="2528" max="2528" width="44.453125" style="3" customWidth="1"/>
    <col min="2529" max="2529" width="34.54296875" style="3" customWidth="1"/>
    <col min="2530" max="2530" width="37.453125" style="3" customWidth="1"/>
    <col min="2531" max="2531" width="19.81640625" style="3" customWidth="1"/>
    <col min="2532" max="2556" width="8.81640625" style="3"/>
    <col min="2557" max="2557" width="9.54296875" style="3" customWidth="1"/>
    <col min="2558" max="2558" width="50.54296875" style="3" customWidth="1"/>
    <col min="2559" max="2559" width="14.81640625" style="3" customWidth="1"/>
    <col min="2560" max="2560" width="15.54296875" style="3" customWidth="1"/>
    <col min="2561" max="2561" width="8.54296875" style="3" customWidth="1"/>
    <col min="2562" max="2562" width="21.1796875" style="3" customWidth="1"/>
    <col min="2563" max="2563" width="10.453125" style="3" customWidth="1"/>
    <col min="2564" max="2564" width="17.453125" style="3" customWidth="1"/>
    <col min="2565" max="2565" width="11.1796875" style="3" customWidth="1"/>
    <col min="2566" max="2566" width="17.453125" style="3" customWidth="1"/>
    <col min="2567" max="2567" width="9.453125" style="3" customWidth="1"/>
    <col min="2568" max="2568" width="17.453125" style="3" customWidth="1"/>
    <col min="2569" max="2569" width="10.453125" style="3" customWidth="1"/>
    <col min="2570" max="2570" width="19.453125" style="3" customWidth="1"/>
    <col min="2571" max="2571" width="17.453125" style="3" customWidth="1"/>
    <col min="2572" max="2572" width="43.81640625" style="3" customWidth="1"/>
    <col min="2573" max="2573" width="10.453125" style="3" customWidth="1"/>
    <col min="2574" max="2574" width="13.453125" style="3" customWidth="1"/>
    <col min="2575" max="2576" width="21.453125" style="3" customWidth="1"/>
    <col min="2577" max="2578" width="22" style="3" customWidth="1"/>
    <col min="2579" max="2580" width="22.453125" style="3" customWidth="1"/>
    <col min="2581" max="2582" width="22.81640625" style="3" customWidth="1"/>
    <col min="2583" max="2583" width="19.453125" style="3" customWidth="1"/>
    <col min="2584" max="2584" width="8.81640625" style="3"/>
    <col min="2585" max="2585" width="17.453125" style="3" customWidth="1"/>
    <col min="2586" max="2586" width="16" style="3" customWidth="1"/>
    <col min="2587" max="2588" width="17.453125" style="3" customWidth="1"/>
    <col min="2589" max="2589" width="16.453125" style="3" customWidth="1"/>
    <col min="2590" max="2590" width="8.81640625" style="3"/>
    <col min="2591" max="2591" width="22.453125" style="3" customWidth="1"/>
    <col min="2592" max="2592" width="22.1796875" style="3" customWidth="1"/>
    <col min="2593" max="2594" width="17.453125" style="3" customWidth="1"/>
    <col min="2595" max="2595" width="18.1796875" style="3" customWidth="1"/>
    <col min="2596" max="2773" width="8.81640625" style="3"/>
    <col min="2774" max="2774" width="1.453125" style="3" customWidth="1"/>
    <col min="2775" max="2775" width="51.453125" style="3" customWidth="1"/>
    <col min="2776" max="2776" width="12.453125" style="3" customWidth="1"/>
    <col min="2777" max="2777" width="21.453125" style="3" customWidth="1"/>
    <col min="2778" max="2778" width="12.453125" style="3" customWidth="1"/>
    <col min="2779" max="2779" width="14.453125" style="3" customWidth="1"/>
    <col min="2780" max="2780" width="15.1796875" style="3" customWidth="1"/>
    <col min="2781" max="2781" width="12.453125" style="3" customWidth="1"/>
    <col min="2782" max="2782" width="13" style="3" customWidth="1"/>
    <col min="2783" max="2783" width="14.54296875" style="3" customWidth="1"/>
    <col min="2784" max="2784" width="44.453125" style="3" customWidth="1"/>
    <col min="2785" max="2785" width="34.54296875" style="3" customWidth="1"/>
    <col min="2786" max="2786" width="37.453125" style="3" customWidth="1"/>
    <col min="2787" max="2787" width="19.81640625" style="3" customWidth="1"/>
    <col min="2788" max="2812" width="8.81640625" style="3"/>
    <col min="2813" max="2813" width="9.54296875" style="3" customWidth="1"/>
    <col min="2814" max="2814" width="50.54296875" style="3" customWidth="1"/>
    <col min="2815" max="2815" width="14.81640625" style="3" customWidth="1"/>
    <col min="2816" max="2816" width="15.54296875" style="3" customWidth="1"/>
    <col min="2817" max="2817" width="8.54296875" style="3" customWidth="1"/>
    <col min="2818" max="2818" width="21.1796875" style="3" customWidth="1"/>
    <col min="2819" max="2819" width="10.453125" style="3" customWidth="1"/>
    <col min="2820" max="2820" width="17.453125" style="3" customWidth="1"/>
    <col min="2821" max="2821" width="11.1796875" style="3" customWidth="1"/>
    <col min="2822" max="2822" width="17.453125" style="3" customWidth="1"/>
    <col min="2823" max="2823" width="9.453125" style="3" customWidth="1"/>
    <col min="2824" max="2824" width="17.453125" style="3" customWidth="1"/>
    <col min="2825" max="2825" width="10.453125" style="3" customWidth="1"/>
    <col min="2826" max="2826" width="19.453125" style="3" customWidth="1"/>
    <col min="2827" max="2827" width="17.453125" style="3" customWidth="1"/>
    <col min="2828" max="2828" width="43.81640625" style="3" customWidth="1"/>
    <col min="2829" max="2829" width="10.453125" style="3" customWidth="1"/>
    <col min="2830" max="2830" width="13.453125" style="3" customWidth="1"/>
    <col min="2831" max="2832" width="21.453125" style="3" customWidth="1"/>
    <col min="2833" max="2834" width="22" style="3" customWidth="1"/>
    <col min="2835" max="2836" width="22.453125" style="3" customWidth="1"/>
    <col min="2837" max="2838" width="22.81640625" style="3" customWidth="1"/>
    <col min="2839" max="2839" width="19.453125" style="3" customWidth="1"/>
    <col min="2840" max="2840" width="8.81640625" style="3"/>
    <col min="2841" max="2841" width="17.453125" style="3" customWidth="1"/>
    <col min="2842" max="2842" width="16" style="3" customWidth="1"/>
    <col min="2843" max="2844" width="17.453125" style="3" customWidth="1"/>
    <col min="2845" max="2845" width="16.453125" style="3" customWidth="1"/>
    <col min="2846" max="2846" width="8.81640625" style="3"/>
    <col min="2847" max="2847" width="22.453125" style="3" customWidth="1"/>
    <col min="2848" max="2848" width="22.1796875" style="3" customWidth="1"/>
    <col min="2849" max="2850" width="17.453125" style="3" customWidth="1"/>
    <col min="2851" max="2851" width="18.1796875" style="3" customWidth="1"/>
    <col min="2852" max="3029" width="8.81640625" style="3"/>
    <col min="3030" max="3030" width="1.453125" style="3" customWidth="1"/>
    <col min="3031" max="3031" width="51.453125" style="3" customWidth="1"/>
    <col min="3032" max="3032" width="12.453125" style="3" customWidth="1"/>
    <col min="3033" max="3033" width="21.453125" style="3" customWidth="1"/>
    <col min="3034" max="3034" width="12.453125" style="3" customWidth="1"/>
    <col min="3035" max="3035" width="14.453125" style="3" customWidth="1"/>
    <col min="3036" max="3036" width="15.1796875" style="3" customWidth="1"/>
    <col min="3037" max="3037" width="12.453125" style="3" customWidth="1"/>
    <col min="3038" max="3038" width="13" style="3" customWidth="1"/>
    <col min="3039" max="3039" width="14.54296875" style="3" customWidth="1"/>
    <col min="3040" max="3040" width="44.453125" style="3" customWidth="1"/>
    <col min="3041" max="3041" width="34.54296875" style="3" customWidth="1"/>
    <col min="3042" max="3042" width="37.453125" style="3" customWidth="1"/>
    <col min="3043" max="3043" width="19.81640625" style="3" customWidth="1"/>
    <col min="3044" max="3068" width="8.81640625" style="3"/>
    <col min="3069" max="3069" width="9.54296875" style="3" customWidth="1"/>
    <col min="3070" max="3070" width="50.54296875" style="3" customWidth="1"/>
    <col min="3071" max="3071" width="14.81640625" style="3" customWidth="1"/>
    <col min="3072" max="3072" width="15.54296875" style="3" customWidth="1"/>
    <col min="3073" max="3073" width="8.54296875" style="3" customWidth="1"/>
    <col min="3074" max="3074" width="21.1796875" style="3" customWidth="1"/>
    <col min="3075" max="3075" width="10.453125" style="3" customWidth="1"/>
    <col min="3076" max="3076" width="17.453125" style="3" customWidth="1"/>
    <col min="3077" max="3077" width="11.1796875" style="3" customWidth="1"/>
    <col min="3078" max="3078" width="17.453125" style="3" customWidth="1"/>
    <col min="3079" max="3079" width="9.453125" style="3" customWidth="1"/>
    <col min="3080" max="3080" width="17.453125" style="3" customWidth="1"/>
    <col min="3081" max="3081" width="10.453125" style="3" customWidth="1"/>
    <col min="3082" max="3082" width="19.453125" style="3" customWidth="1"/>
    <col min="3083" max="3083" width="17.453125" style="3" customWidth="1"/>
    <col min="3084" max="3084" width="43.81640625" style="3" customWidth="1"/>
    <col min="3085" max="3085" width="10.453125" style="3" customWidth="1"/>
    <col min="3086" max="3086" width="13.453125" style="3" customWidth="1"/>
    <col min="3087" max="3088" width="21.453125" style="3" customWidth="1"/>
    <col min="3089" max="3090" width="22" style="3" customWidth="1"/>
    <col min="3091" max="3092" width="22.453125" style="3" customWidth="1"/>
    <col min="3093" max="3094" width="22.81640625" style="3" customWidth="1"/>
    <col min="3095" max="3095" width="19.453125" style="3" customWidth="1"/>
    <col min="3096" max="3096" width="8.81640625" style="3"/>
    <col min="3097" max="3097" width="17.453125" style="3" customWidth="1"/>
    <col min="3098" max="3098" width="16" style="3" customWidth="1"/>
    <col min="3099" max="3100" width="17.453125" style="3" customWidth="1"/>
    <col min="3101" max="3101" width="16.453125" style="3" customWidth="1"/>
    <col min="3102" max="3102" width="8.81640625" style="3"/>
    <col min="3103" max="3103" width="22.453125" style="3" customWidth="1"/>
    <col min="3104" max="3104" width="22.1796875" style="3" customWidth="1"/>
    <col min="3105" max="3106" width="17.453125" style="3" customWidth="1"/>
    <col min="3107" max="3107" width="18.1796875" style="3" customWidth="1"/>
    <col min="3108" max="3285" width="8.81640625" style="3"/>
    <col min="3286" max="3286" width="1.453125" style="3" customWidth="1"/>
    <col min="3287" max="3287" width="51.453125" style="3" customWidth="1"/>
    <col min="3288" max="3288" width="12.453125" style="3" customWidth="1"/>
    <col min="3289" max="3289" width="21.453125" style="3" customWidth="1"/>
    <col min="3290" max="3290" width="12.453125" style="3" customWidth="1"/>
    <col min="3291" max="3291" width="14.453125" style="3" customWidth="1"/>
    <col min="3292" max="3292" width="15.1796875" style="3" customWidth="1"/>
    <col min="3293" max="3293" width="12.453125" style="3" customWidth="1"/>
    <col min="3294" max="3294" width="13" style="3" customWidth="1"/>
    <col min="3295" max="3295" width="14.54296875" style="3" customWidth="1"/>
    <col min="3296" max="3296" width="44.453125" style="3" customWidth="1"/>
    <col min="3297" max="3297" width="34.54296875" style="3" customWidth="1"/>
    <col min="3298" max="3298" width="37.453125" style="3" customWidth="1"/>
    <col min="3299" max="3299" width="19.81640625" style="3" customWidth="1"/>
    <col min="3300" max="3324" width="8.81640625" style="3"/>
    <col min="3325" max="3325" width="9.54296875" style="3" customWidth="1"/>
    <col min="3326" max="3326" width="50.54296875" style="3" customWidth="1"/>
    <col min="3327" max="3327" width="14.81640625" style="3" customWidth="1"/>
    <col min="3328" max="3328" width="15.54296875" style="3" customWidth="1"/>
    <col min="3329" max="3329" width="8.54296875" style="3" customWidth="1"/>
    <col min="3330" max="3330" width="21.1796875" style="3" customWidth="1"/>
    <col min="3331" max="3331" width="10.453125" style="3" customWidth="1"/>
    <col min="3332" max="3332" width="17.453125" style="3" customWidth="1"/>
    <col min="3333" max="3333" width="11.1796875" style="3" customWidth="1"/>
    <col min="3334" max="3334" width="17.453125" style="3" customWidth="1"/>
    <col min="3335" max="3335" width="9.453125" style="3" customWidth="1"/>
    <col min="3336" max="3336" width="17.453125" style="3" customWidth="1"/>
    <col min="3337" max="3337" width="10.453125" style="3" customWidth="1"/>
    <col min="3338" max="3338" width="19.453125" style="3" customWidth="1"/>
    <col min="3339" max="3339" width="17.453125" style="3" customWidth="1"/>
    <col min="3340" max="3340" width="43.81640625" style="3" customWidth="1"/>
    <col min="3341" max="3341" width="10.453125" style="3" customWidth="1"/>
    <col min="3342" max="3342" width="13.453125" style="3" customWidth="1"/>
    <col min="3343" max="3344" width="21.453125" style="3" customWidth="1"/>
    <col min="3345" max="3346" width="22" style="3" customWidth="1"/>
    <col min="3347" max="3348" width="22.453125" style="3" customWidth="1"/>
    <col min="3349" max="3350" width="22.81640625" style="3" customWidth="1"/>
    <col min="3351" max="3351" width="19.453125" style="3" customWidth="1"/>
    <col min="3352" max="3352" width="8.81640625" style="3"/>
    <col min="3353" max="3353" width="17.453125" style="3" customWidth="1"/>
    <col min="3354" max="3354" width="16" style="3" customWidth="1"/>
    <col min="3355" max="3356" width="17.453125" style="3" customWidth="1"/>
    <col min="3357" max="3357" width="16.453125" style="3" customWidth="1"/>
    <col min="3358" max="3358" width="8.81640625" style="3"/>
    <col min="3359" max="3359" width="22.453125" style="3" customWidth="1"/>
    <col min="3360" max="3360" width="22.1796875" style="3" customWidth="1"/>
    <col min="3361" max="3362" width="17.453125" style="3" customWidth="1"/>
    <col min="3363" max="3363" width="18.1796875" style="3" customWidth="1"/>
    <col min="3364" max="3541" width="8.81640625" style="3"/>
    <col min="3542" max="3542" width="1.453125" style="3" customWidth="1"/>
    <col min="3543" max="3543" width="51.453125" style="3" customWidth="1"/>
    <col min="3544" max="3544" width="12.453125" style="3" customWidth="1"/>
    <col min="3545" max="3545" width="21.453125" style="3" customWidth="1"/>
    <col min="3546" max="3546" width="12.453125" style="3" customWidth="1"/>
    <col min="3547" max="3547" width="14.453125" style="3" customWidth="1"/>
    <col min="3548" max="3548" width="15.1796875" style="3" customWidth="1"/>
    <col min="3549" max="3549" width="12.453125" style="3" customWidth="1"/>
    <col min="3550" max="3550" width="13" style="3" customWidth="1"/>
    <col min="3551" max="3551" width="14.54296875" style="3" customWidth="1"/>
    <col min="3552" max="3552" width="44.453125" style="3" customWidth="1"/>
    <col min="3553" max="3553" width="34.54296875" style="3" customWidth="1"/>
    <col min="3554" max="3554" width="37.453125" style="3" customWidth="1"/>
    <col min="3555" max="3555" width="19.81640625" style="3" customWidth="1"/>
    <col min="3556" max="3580" width="8.81640625" style="3"/>
    <col min="3581" max="3581" width="9.54296875" style="3" customWidth="1"/>
    <col min="3582" max="3582" width="50.54296875" style="3" customWidth="1"/>
    <col min="3583" max="3583" width="14.81640625" style="3" customWidth="1"/>
    <col min="3584" max="3584" width="15.54296875" style="3" customWidth="1"/>
    <col min="3585" max="3585" width="8.54296875" style="3" customWidth="1"/>
    <col min="3586" max="3586" width="21.1796875" style="3" customWidth="1"/>
    <col min="3587" max="3587" width="10.453125" style="3" customWidth="1"/>
    <col min="3588" max="3588" width="17.453125" style="3" customWidth="1"/>
    <col min="3589" max="3589" width="11.1796875" style="3" customWidth="1"/>
    <col min="3590" max="3590" width="17.453125" style="3" customWidth="1"/>
    <col min="3591" max="3591" width="9.453125" style="3" customWidth="1"/>
    <col min="3592" max="3592" width="17.453125" style="3" customWidth="1"/>
    <col min="3593" max="3593" width="10.453125" style="3" customWidth="1"/>
    <col min="3594" max="3594" width="19.453125" style="3" customWidth="1"/>
    <col min="3595" max="3595" width="17.453125" style="3" customWidth="1"/>
    <col min="3596" max="3596" width="43.81640625" style="3" customWidth="1"/>
    <col min="3597" max="3597" width="10.453125" style="3" customWidth="1"/>
    <col min="3598" max="3598" width="13.453125" style="3" customWidth="1"/>
    <col min="3599" max="3600" width="21.453125" style="3" customWidth="1"/>
    <col min="3601" max="3602" width="22" style="3" customWidth="1"/>
    <col min="3603" max="3604" width="22.453125" style="3" customWidth="1"/>
    <col min="3605" max="3606" width="22.81640625" style="3" customWidth="1"/>
    <col min="3607" max="3607" width="19.453125" style="3" customWidth="1"/>
    <col min="3608" max="3608" width="8.81640625" style="3"/>
    <col min="3609" max="3609" width="17.453125" style="3" customWidth="1"/>
    <col min="3610" max="3610" width="16" style="3" customWidth="1"/>
    <col min="3611" max="3612" width="17.453125" style="3" customWidth="1"/>
    <col min="3613" max="3613" width="16.453125" style="3" customWidth="1"/>
    <col min="3614" max="3614" width="8.81640625" style="3"/>
    <col min="3615" max="3615" width="22.453125" style="3" customWidth="1"/>
    <col min="3616" max="3616" width="22.1796875" style="3" customWidth="1"/>
    <col min="3617" max="3618" width="17.453125" style="3" customWidth="1"/>
    <col min="3619" max="3619" width="18.1796875" style="3" customWidth="1"/>
    <col min="3620" max="3797" width="8.81640625" style="3"/>
    <col min="3798" max="3798" width="1.453125" style="3" customWidth="1"/>
    <col min="3799" max="3799" width="51.453125" style="3" customWidth="1"/>
    <col min="3800" max="3800" width="12.453125" style="3" customWidth="1"/>
    <col min="3801" max="3801" width="21.453125" style="3" customWidth="1"/>
    <col min="3802" max="3802" width="12.453125" style="3" customWidth="1"/>
    <col min="3803" max="3803" width="14.453125" style="3" customWidth="1"/>
    <col min="3804" max="3804" width="15.1796875" style="3" customWidth="1"/>
    <col min="3805" max="3805" width="12.453125" style="3" customWidth="1"/>
    <col min="3806" max="3806" width="13" style="3" customWidth="1"/>
    <col min="3807" max="3807" width="14.54296875" style="3" customWidth="1"/>
    <col min="3808" max="3808" width="44.453125" style="3" customWidth="1"/>
    <col min="3809" max="3809" width="34.54296875" style="3" customWidth="1"/>
    <col min="3810" max="3810" width="37.453125" style="3" customWidth="1"/>
    <col min="3811" max="3811" width="19.81640625" style="3" customWidth="1"/>
    <col min="3812" max="3836" width="8.81640625" style="3"/>
    <col min="3837" max="3837" width="9.54296875" style="3" customWidth="1"/>
    <col min="3838" max="3838" width="50.54296875" style="3" customWidth="1"/>
    <col min="3839" max="3839" width="14.81640625" style="3" customWidth="1"/>
    <col min="3840" max="3840" width="15.54296875" style="3" customWidth="1"/>
    <col min="3841" max="3841" width="8.54296875" style="3" customWidth="1"/>
    <col min="3842" max="3842" width="21.1796875" style="3" customWidth="1"/>
    <col min="3843" max="3843" width="10.453125" style="3" customWidth="1"/>
    <col min="3844" max="3844" width="17.453125" style="3" customWidth="1"/>
    <col min="3845" max="3845" width="11.1796875" style="3" customWidth="1"/>
    <col min="3846" max="3846" width="17.453125" style="3" customWidth="1"/>
    <col min="3847" max="3847" width="9.453125" style="3" customWidth="1"/>
    <col min="3848" max="3848" width="17.453125" style="3" customWidth="1"/>
    <col min="3849" max="3849" width="10.453125" style="3" customWidth="1"/>
    <col min="3850" max="3850" width="19.453125" style="3" customWidth="1"/>
    <col min="3851" max="3851" width="17.453125" style="3" customWidth="1"/>
    <col min="3852" max="3852" width="43.81640625" style="3" customWidth="1"/>
    <col min="3853" max="3853" width="10.453125" style="3" customWidth="1"/>
    <col min="3854" max="3854" width="13.453125" style="3" customWidth="1"/>
    <col min="3855" max="3856" width="21.453125" style="3" customWidth="1"/>
    <col min="3857" max="3858" width="22" style="3" customWidth="1"/>
    <col min="3859" max="3860" width="22.453125" style="3" customWidth="1"/>
    <col min="3861" max="3862" width="22.81640625" style="3" customWidth="1"/>
    <col min="3863" max="3863" width="19.453125" style="3" customWidth="1"/>
    <col min="3864" max="3864" width="8.81640625" style="3"/>
    <col min="3865" max="3865" width="17.453125" style="3" customWidth="1"/>
    <col min="3866" max="3866" width="16" style="3" customWidth="1"/>
    <col min="3867" max="3868" width="17.453125" style="3" customWidth="1"/>
    <col min="3869" max="3869" width="16.453125" style="3" customWidth="1"/>
    <col min="3870" max="3870" width="8.81640625" style="3"/>
    <col min="3871" max="3871" width="22.453125" style="3" customWidth="1"/>
    <col min="3872" max="3872" width="22.1796875" style="3" customWidth="1"/>
    <col min="3873" max="3874" width="17.453125" style="3" customWidth="1"/>
    <col min="3875" max="3875" width="18.1796875" style="3" customWidth="1"/>
    <col min="3876" max="4053" width="8.81640625" style="3"/>
    <col min="4054" max="4054" width="1.453125" style="3" customWidth="1"/>
    <col min="4055" max="4055" width="51.453125" style="3" customWidth="1"/>
    <col min="4056" max="4056" width="12.453125" style="3" customWidth="1"/>
    <col min="4057" max="4057" width="21.453125" style="3" customWidth="1"/>
    <col min="4058" max="4058" width="12.453125" style="3" customWidth="1"/>
    <col min="4059" max="4059" width="14.453125" style="3" customWidth="1"/>
    <col min="4060" max="4060" width="15.1796875" style="3" customWidth="1"/>
    <col min="4061" max="4061" width="12.453125" style="3" customWidth="1"/>
    <col min="4062" max="4062" width="13" style="3" customWidth="1"/>
    <col min="4063" max="4063" width="14.54296875" style="3" customWidth="1"/>
    <col min="4064" max="4064" width="44.453125" style="3" customWidth="1"/>
    <col min="4065" max="4065" width="34.54296875" style="3" customWidth="1"/>
    <col min="4066" max="4066" width="37.453125" style="3" customWidth="1"/>
    <col min="4067" max="4067" width="19.81640625" style="3" customWidth="1"/>
    <col min="4068" max="4092" width="8.81640625" style="3"/>
    <col min="4093" max="4093" width="9.54296875" style="3" customWidth="1"/>
    <col min="4094" max="4094" width="50.54296875" style="3" customWidth="1"/>
    <col min="4095" max="4095" width="14.81640625" style="3" customWidth="1"/>
    <col min="4096" max="4096" width="15.54296875" style="3" customWidth="1"/>
    <col min="4097" max="4097" width="8.54296875" style="3" customWidth="1"/>
    <col min="4098" max="4098" width="21.1796875" style="3" customWidth="1"/>
    <col min="4099" max="4099" width="10.453125" style="3" customWidth="1"/>
    <col min="4100" max="4100" width="17.453125" style="3" customWidth="1"/>
    <col min="4101" max="4101" width="11.1796875" style="3" customWidth="1"/>
    <col min="4102" max="4102" width="17.453125" style="3" customWidth="1"/>
    <col min="4103" max="4103" width="9.453125" style="3" customWidth="1"/>
    <col min="4104" max="4104" width="17.453125" style="3" customWidth="1"/>
    <col min="4105" max="4105" width="10.453125" style="3" customWidth="1"/>
    <col min="4106" max="4106" width="19.453125" style="3" customWidth="1"/>
    <col min="4107" max="4107" width="17.453125" style="3" customWidth="1"/>
    <col min="4108" max="4108" width="43.81640625" style="3" customWidth="1"/>
    <col min="4109" max="4109" width="10.453125" style="3" customWidth="1"/>
    <col min="4110" max="4110" width="13.453125" style="3" customWidth="1"/>
    <col min="4111" max="4112" width="21.453125" style="3" customWidth="1"/>
    <col min="4113" max="4114" width="22" style="3" customWidth="1"/>
    <col min="4115" max="4116" width="22.453125" style="3" customWidth="1"/>
    <col min="4117" max="4118" width="22.81640625" style="3" customWidth="1"/>
    <col min="4119" max="4119" width="19.453125" style="3" customWidth="1"/>
    <col min="4120" max="4120" width="8.81640625" style="3"/>
    <col min="4121" max="4121" width="17.453125" style="3" customWidth="1"/>
    <col min="4122" max="4122" width="16" style="3" customWidth="1"/>
    <col min="4123" max="4124" width="17.453125" style="3" customWidth="1"/>
    <col min="4125" max="4125" width="16.453125" style="3" customWidth="1"/>
    <col min="4126" max="4126" width="8.81640625" style="3"/>
    <col min="4127" max="4127" width="22.453125" style="3" customWidth="1"/>
    <col min="4128" max="4128" width="22.1796875" style="3" customWidth="1"/>
    <col min="4129" max="4130" width="17.453125" style="3" customWidth="1"/>
    <col min="4131" max="4131" width="18.1796875" style="3" customWidth="1"/>
    <col min="4132" max="4309" width="8.81640625" style="3"/>
    <col min="4310" max="4310" width="1.453125" style="3" customWidth="1"/>
    <col min="4311" max="4311" width="51.453125" style="3" customWidth="1"/>
    <col min="4312" max="4312" width="12.453125" style="3" customWidth="1"/>
    <col min="4313" max="4313" width="21.453125" style="3" customWidth="1"/>
    <col min="4314" max="4314" width="12.453125" style="3" customWidth="1"/>
    <col min="4315" max="4315" width="14.453125" style="3" customWidth="1"/>
    <col min="4316" max="4316" width="15.1796875" style="3" customWidth="1"/>
    <col min="4317" max="4317" width="12.453125" style="3" customWidth="1"/>
    <col min="4318" max="4318" width="13" style="3" customWidth="1"/>
    <col min="4319" max="4319" width="14.54296875" style="3" customWidth="1"/>
    <col min="4320" max="4320" width="44.453125" style="3" customWidth="1"/>
    <col min="4321" max="4321" width="34.54296875" style="3" customWidth="1"/>
    <col min="4322" max="4322" width="37.453125" style="3" customWidth="1"/>
    <col min="4323" max="4323" width="19.81640625" style="3" customWidth="1"/>
    <col min="4324" max="4348" width="8.81640625" style="3"/>
    <col min="4349" max="4349" width="9.54296875" style="3" customWidth="1"/>
    <col min="4350" max="4350" width="50.54296875" style="3" customWidth="1"/>
    <col min="4351" max="4351" width="14.81640625" style="3" customWidth="1"/>
    <col min="4352" max="4352" width="15.54296875" style="3" customWidth="1"/>
    <col min="4353" max="4353" width="8.54296875" style="3" customWidth="1"/>
    <col min="4354" max="4354" width="21.1796875" style="3" customWidth="1"/>
    <col min="4355" max="4355" width="10.453125" style="3" customWidth="1"/>
    <col min="4356" max="4356" width="17.453125" style="3" customWidth="1"/>
    <col min="4357" max="4357" width="11.1796875" style="3" customWidth="1"/>
    <col min="4358" max="4358" width="17.453125" style="3" customWidth="1"/>
    <col min="4359" max="4359" width="9.453125" style="3" customWidth="1"/>
    <col min="4360" max="4360" width="17.453125" style="3" customWidth="1"/>
    <col min="4361" max="4361" width="10.453125" style="3" customWidth="1"/>
    <col min="4362" max="4362" width="19.453125" style="3" customWidth="1"/>
    <col min="4363" max="4363" width="17.453125" style="3" customWidth="1"/>
    <col min="4364" max="4364" width="43.81640625" style="3" customWidth="1"/>
    <col min="4365" max="4365" width="10.453125" style="3" customWidth="1"/>
    <col min="4366" max="4366" width="13.453125" style="3" customWidth="1"/>
    <col min="4367" max="4368" width="21.453125" style="3" customWidth="1"/>
    <col min="4369" max="4370" width="22" style="3" customWidth="1"/>
    <col min="4371" max="4372" width="22.453125" style="3" customWidth="1"/>
    <col min="4373" max="4374" width="22.81640625" style="3" customWidth="1"/>
    <col min="4375" max="4375" width="19.453125" style="3" customWidth="1"/>
    <col min="4376" max="4376" width="8.81640625" style="3"/>
    <col min="4377" max="4377" width="17.453125" style="3" customWidth="1"/>
    <col min="4378" max="4378" width="16" style="3" customWidth="1"/>
    <col min="4379" max="4380" width="17.453125" style="3" customWidth="1"/>
    <col min="4381" max="4381" width="16.453125" style="3" customWidth="1"/>
    <col min="4382" max="4382" width="8.81640625" style="3"/>
    <col min="4383" max="4383" width="22.453125" style="3" customWidth="1"/>
    <col min="4384" max="4384" width="22.1796875" style="3" customWidth="1"/>
    <col min="4385" max="4386" width="17.453125" style="3" customWidth="1"/>
    <col min="4387" max="4387" width="18.1796875" style="3" customWidth="1"/>
    <col min="4388" max="4565" width="8.81640625" style="3"/>
    <col min="4566" max="4566" width="1.453125" style="3" customWidth="1"/>
    <col min="4567" max="4567" width="51.453125" style="3" customWidth="1"/>
    <col min="4568" max="4568" width="12.453125" style="3" customWidth="1"/>
    <col min="4569" max="4569" width="21.453125" style="3" customWidth="1"/>
    <col min="4570" max="4570" width="12.453125" style="3" customWidth="1"/>
    <col min="4571" max="4571" width="14.453125" style="3" customWidth="1"/>
    <col min="4572" max="4572" width="15.1796875" style="3" customWidth="1"/>
    <col min="4573" max="4573" width="12.453125" style="3" customWidth="1"/>
    <col min="4574" max="4574" width="13" style="3" customWidth="1"/>
    <col min="4575" max="4575" width="14.54296875" style="3" customWidth="1"/>
    <col min="4576" max="4576" width="44.453125" style="3" customWidth="1"/>
    <col min="4577" max="4577" width="34.54296875" style="3" customWidth="1"/>
    <col min="4578" max="4578" width="37.453125" style="3" customWidth="1"/>
    <col min="4579" max="4579" width="19.81640625" style="3" customWidth="1"/>
    <col min="4580" max="4604" width="8.81640625" style="3"/>
    <col min="4605" max="4605" width="9.54296875" style="3" customWidth="1"/>
    <col min="4606" max="4606" width="50.54296875" style="3" customWidth="1"/>
    <col min="4607" max="4607" width="14.81640625" style="3" customWidth="1"/>
    <col min="4608" max="4608" width="15.54296875" style="3" customWidth="1"/>
    <col min="4609" max="4609" width="8.54296875" style="3" customWidth="1"/>
    <col min="4610" max="4610" width="21.1796875" style="3" customWidth="1"/>
    <col min="4611" max="4611" width="10.453125" style="3" customWidth="1"/>
    <col min="4612" max="4612" width="17.453125" style="3" customWidth="1"/>
    <col min="4613" max="4613" width="11.1796875" style="3" customWidth="1"/>
    <col min="4614" max="4614" width="17.453125" style="3" customWidth="1"/>
    <col min="4615" max="4615" width="9.453125" style="3" customWidth="1"/>
    <col min="4616" max="4616" width="17.453125" style="3" customWidth="1"/>
    <col min="4617" max="4617" width="10.453125" style="3" customWidth="1"/>
    <col min="4618" max="4618" width="19.453125" style="3" customWidth="1"/>
    <col min="4619" max="4619" width="17.453125" style="3" customWidth="1"/>
    <col min="4620" max="4620" width="43.81640625" style="3" customWidth="1"/>
    <col min="4621" max="4621" width="10.453125" style="3" customWidth="1"/>
    <col min="4622" max="4622" width="13.453125" style="3" customWidth="1"/>
    <col min="4623" max="4624" width="21.453125" style="3" customWidth="1"/>
    <col min="4625" max="4626" width="22" style="3" customWidth="1"/>
    <col min="4627" max="4628" width="22.453125" style="3" customWidth="1"/>
    <col min="4629" max="4630" width="22.81640625" style="3" customWidth="1"/>
    <col min="4631" max="4631" width="19.453125" style="3" customWidth="1"/>
    <col min="4632" max="4632" width="8.81640625" style="3"/>
    <col min="4633" max="4633" width="17.453125" style="3" customWidth="1"/>
    <col min="4634" max="4634" width="16" style="3" customWidth="1"/>
    <col min="4635" max="4636" width="17.453125" style="3" customWidth="1"/>
    <col min="4637" max="4637" width="16.453125" style="3" customWidth="1"/>
    <col min="4638" max="4638" width="8.81640625" style="3"/>
    <col min="4639" max="4639" width="22.453125" style="3" customWidth="1"/>
    <col min="4640" max="4640" width="22.1796875" style="3" customWidth="1"/>
    <col min="4641" max="4642" width="17.453125" style="3" customWidth="1"/>
    <col min="4643" max="4643" width="18.1796875" style="3" customWidth="1"/>
    <col min="4644" max="4821" width="8.81640625" style="3"/>
    <col min="4822" max="4822" width="1.453125" style="3" customWidth="1"/>
    <col min="4823" max="4823" width="51.453125" style="3" customWidth="1"/>
    <col min="4824" max="4824" width="12.453125" style="3" customWidth="1"/>
    <col min="4825" max="4825" width="21.453125" style="3" customWidth="1"/>
    <col min="4826" max="4826" width="12.453125" style="3" customWidth="1"/>
    <col min="4827" max="4827" width="14.453125" style="3" customWidth="1"/>
    <col min="4828" max="4828" width="15.1796875" style="3" customWidth="1"/>
    <col min="4829" max="4829" width="12.453125" style="3" customWidth="1"/>
    <col min="4830" max="4830" width="13" style="3" customWidth="1"/>
    <col min="4831" max="4831" width="14.54296875" style="3" customWidth="1"/>
    <col min="4832" max="4832" width="44.453125" style="3" customWidth="1"/>
    <col min="4833" max="4833" width="34.54296875" style="3" customWidth="1"/>
    <col min="4834" max="4834" width="37.453125" style="3" customWidth="1"/>
    <col min="4835" max="4835" width="19.81640625" style="3" customWidth="1"/>
    <col min="4836" max="4860" width="8.81640625" style="3"/>
    <col min="4861" max="4861" width="9.54296875" style="3" customWidth="1"/>
    <col min="4862" max="4862" width="50.54296875" style="3" customWidth="1"/>
    <col min="4863" max="4863" width="14.81640625" style="3" customWidth="1"/>
    <col min="4864" max="4864" width="15.54296875" style="3" customWidth="1"/>
    <col min="4865" max="4865" width="8.54296875" style="3" customWidth="1"/>
    <col min="4866" max="4866" width="21.1796875" style="3" customWidth="1"/>
    <col min="4867" max="4867" width="10.453125" style="3" customWidth="1"/>
    <col min="4868" max="4868" width="17.453125" style="3" customWidth="1"/>
    <col min="4869" max="4869" width="11.1796875" style="3" customWidth="1"/>
    <col min="4870" max="4870" width="17.453125" style="3" customWidth="1"/>
    <col min="4871" max="4871" width="9.453125" style="3" customWidth="1"/>
    <col min="4872" max="4872" width="17.453125" style="3" customWidth="1"/>
    <col min="4873" max="4873" width="10.453125" style="3" customWidth="1"/>
    <col min="4874" max="4874" width="19.453125" style="3" customWidth="1"/>
    <col min="4875" max="4875" width="17.453125" style="3" customWidth="1"/>
    <col min="4876" max="4876" width="43.81640625" style="3" customWidth="1"/>
    <col min="4877" max="4877" width="10.453125" style="3" customWidth="1"/>
    <col min="4878" max="4878" width="13.453125" style="3" customWidth="1"/>
    <col min="4879" max="4880" width="21.453125" style="3" customWidth="1"/>
    <col min="4881" max="4882" width="22" style="3" customWidth="1"/>
    <col min="4883" max="4884" width="22.453125" style="3" customWidth="1"/>
    <col min="4885" max="4886" width="22.81640625" style="3" customWidth="1"/>
    <col min="4887" max="4887" width="19.453125" style="3" customWidth="1"/>
    <col min="4888" max="4888" width="8.81640625" style="3"/>
    <col min="4889" max="4889" width="17.453125" style="3" customWidth="1"/>
    <col min="4890" max="4890" width="16" style="3" customWidth="1"/>
    <col min="4891" max="4892" width="17.453125" style="3" customWidth="1"/>
    <col min="4893" max="4893" width="16.453125" style="3" customWidth="1"/>
    <col min="4894" max="4894" width="8.81640625" style="3"/>
    <col min="4895" max="4895" width="22.453125" style="3" customWidth="1"/>
    <col min="4896" max="4896" width="22.1796875" style="3" customWidth="1"/>
    <col min="4897" max="4898" width="17.453125" style="3" customWidth="1"/>
    <col min="4899" max="4899" width="18.1796875" style="3" customWidth="1"/>
    <col min="4900" max="5077" width="8.81640625" style="3"/>
    <col min="5078" max="5078" width="1.453125" style="3" customWidth="1"/>
    <col min="5079" max="5079" width="51.453125" style="3" customWidth="1"/>
    <col min="5080" max="5080" width="12.453125" style="3" customWidth="1"/>
    <col min="5081" max="5081" width="21.453125" style="3" customWidth="1"/>
    <col min="5082" max="5082" width="12.453125" style="3" customWidth="1"/>
    <col min="5083" max="5083" width="14.453125" style="3" customWidth="1"/>
    <col min="5084" max="5084" width="15.1796875" style="3" customWidth="1"/>
    <col min="5085" max="5085" width="12.453125" style="3" customWidth="1"/>
    <col min="5086" max="5086" width="13" style="3" customWidth="1"/>
    <col min="5087" max="5087" width="14.54296875" style="3" customWidth="1"/>
    <col min="5088" max="5088" width="44.453125" style="3" customWidth="1"/>
    <col min="5089" max="5089" width="34.54296875" style="3" customWidth="1"/>
    <col min="5090" max="5090" width="37.453125" style="3" customWidth="1"/>
    <col min="5091" max="5091" width="19.81640625" style="3" customWidth="1"/>
    <col min="5092" max="5116" width="8.81640625" style="3"/>
    <col min="5117" max="5117" width="9.54296875" style="3" customWidth="1"/>
    <col min="5118" max="5118" width="50.54296875" style="3" customWidth="1"/>
    <col min="5119" max="5119" width="14.81640625" style="3" customWidth="1"/>
    <col min="5120" max="5120" width="15.54296875" style="3" customWidth="1"/>
    <col min="5121" max="5121" width="8.54296875" style="3" customWidth="1"/>
    <col min="5122" max="5122" width="21.1796875" style="3" customWidth="1"/>
    <col min="5123" max="5123" width="10.453125" style="3" customWidth="1"/>
    <col min="5124" max="5124" width="17.453125" style="3" customWidth="1"/>
    <col min="5125" max="5125" width="11.1796875" style="3" customWidth="1"/>
    <col min="5126" max="5126" width="17.453125" style="3" customWidth="1"/>
    <col min="5127" max="5127" width="9.453125" style="3" customWidth="1"/>
    <col min="5128" max="5128" width="17.453125" style="3" customWidth="1"/>
    <col min="5129" max="5129" width="10.453125" style="3" customWidth="1"/>
    <col min="5130" max="5130" width="19.453125" style="3" customWidth="1"/>
    <col min="5131" max="5131" width="17.453125" style="3" customWidth="1"/>
    <col min="5132" max="5132" width="43.81640625" style="3" customWidth="1"/>
    <col min="5133" max="5133" width="10.453125" style="3" customWidth="1"/>
    <col min="5134" max="5134" width="13.453125" style="3" customWidth="1"/>
    <col min="5135" max="5136" width="21.453125" style="3" customWidth="1"/>
    <col min="5137" max="5138" width="22" style="3" customWidth="1"/>
    <col min="5139" max="5140" width="22.453125" style="3" customWidth="1"/>
    <col min="5141" max="5142" width="22.81640625" style="3" customWidth="1"/>
    <col min="5143" max="5143" width="19.453125" style="3" customWidth="1"/>
    <col min="5144" max="5144" width="8.81640625" style="3"/>
    <col min="5145" max="5145" width="17.453125" style="3" customWidth="1"/>
    <col min="5146" max="5146" width="16" style="3" customWidth="1"/>
    <col min="5147" max="5148" width="17.453125" style="3" customWidth="1"/>
    <col min="5149" max="5149" width="16.453125" style="3" customWidth="1"/>
    <col min="5150" max="5150" width="8.81640625" style="3"/>
    <col min="5151" max="5151" width="22.453125" style="3" customWidth="1"/>
    <col min="5152" max="5152" width="22.1796875" style="3" customWidth="1"/>
    <col min="5153" max="5154" width="17.453125" style="3" customWidth="1"/>
    <col min="5155" max="5155" width="18.1796875" style="3" customWidth="1"/>
    <col min="5156" max="5333" width="8.81640625" style="3"/>
    <col min="5334" max="5334" width="1.453125" style="3" customWidth="1"/>
    <col min="5335" max="5335" width="51.453125" style="3" customWidth="1"/>
    <col min="5336" max="5336" width="12.453125" style="3" customWidth="1"/>
    <col min="5337" max="5337" width="21.453125" style="3" customWidth="1"/>
    <col min="5338" max="5338" width="12.453125" style="3" customWidth="1"/>
    <col min="5339" max="5339" width="14.453125" style="3" customWidth="1"/>
    <col min="5340" max="5340" width="15.1796875" style="3" customWidth="1"/>
    <col min="5341" max="5341" width="12.453125" style="3" customWidth="1"/>
    <col min="5342" max="5342" width="13" style="3" customWidth="1"/>
    <col min="5343" max="5343" width="14.54296875" style="3" customWidth="1"/>
    <col min="5344" max="5344" width="44.453125" style="3" customWidth="1"/>
    <col min="5345" max="5345" width="34.54296875" style="3" customWidth="1"/>
    <col min="5346" max="5346" width="37.453125" style="3" customWidth="1"/>
    <col min="5347" max="5347" width="19.81640625" style="3" customWidth="1"/>
    <col min="5348" max="5372" width="8.81640625" style="3"/>
    <col min="5373" max="5373" width="9.54296875" style="3" customWidth="1"/>
    <col min="5374" max="5374" width="50.54296875" style="3" customWidth="1"/>
    <col min="5375" max="5375" width="14.81640625" style="3" customWidth="1"/>
    <col min="5376" max="5376" width="15.54296875" style="3" customWidth="1"/>
    <col min="5377" max="5377" width="8.54296875" style="3" customWidth="1"/>
    <col min="5378" max="5378" width="21.1796875" style="3" customWidth="1"/>
    <col min="5379" max="5379" width="10.453125" style="3" customWidth="1"/>
    <col min="5380" max="5380" width="17.453125" style="3" customWidth="1"/>
    <col min="5381" max="5381" width="11.1796875" style="3" customWidth="1"/>
    <col min="5382" max="5382" width="17.453125" style="3" customWidth="1"/>
    <col min="5383" max="5383" width="9.453125" style="3" customWidth="1"/>
    <col min="5384" max="5384" width="17.453125" style="3" customWidth="1"/>
    <col min="5385" max="5385" width="10.453125" style="3" customWidth="1"/>
    <col min="5386" max="5386" width="19.453125" style="3" customWidth="1"/>
    <col min="5387" max="5387" width="17.453125" style="3" customWidth="1"/>
    <col min="5388" max="5388" width="43.81640625" style="3" customWidth="1"/>
    <col min="5389" max="5389" width="10.453125" style="3" customWidth="1"/>
    <col min="5390" max="5390" width="13.453125" style="3" customWidth="1"/>
    <col min="5391" max="5392" width="21.453125" style="3" customWidth="1"/>
    <col min="5393" max="5394" width="22" style="3" customWidth="1"/>
    <col min="5395" max="5396" width="22.453125" style="3" customWidth="1"/>
    <col min="5397" max="5398" width="22.81640625" style="3" customWidth="1"/>
    <col min="5399" max="5399" width="19.453125" style="3" customWidth="1"/>
    <col min="5400" max="5400" width="8.81640625" style="3"/>
    <col min="5401" max="5401" width="17.453125" style="3" customWidth="1"/>
    <col min="5402" max="5402" width="16" style="3" customWidth="1"/>
    <col min="5403" max="5404" width="17.453125" style="3" customWidth="1"/>
    <col min="5405" max="5405" width="16.453125" style="3" customWidth="1"/>
    <col min="5406" max="5406" width="8.81640625" style="3"/>
    <col min="5407" max="5407" width="22.453125" style="3" customWidth="1"/>
    <col min="5408" max="5408" width="22.1796875" style="3" customWidth="1"/>
    <col min="5409" max="5410" width="17.453125" style="3" customWidth="1"/>
    <col min="5411" max="5411" width="18.1796875" style="3" customWidth="1"/>
    <col min="5412" max="5589" width="8.81640625" style="3"/>
    <col min="5590" max="5590" width="1.453125" style="3" customWidth="1"/>
    <col min="5591" max="5591" width="51.453125" style="3" customWidth="1"/>
    <col min="5592" max="5592" width="12.453125" style="3" customWidth="1"/>
    <col min="5593" max="5593" width="21.453125" style="3" customWidth="1"/>
    <col min="5594" max="5594" width="12.453125" style="3" customWidth="1"/>
    <col min="5595" max="5595" width="14.453125" style="3" customWidth="1"/>
    <col min="5596" max="5596" width="15.1796875" style="3" customWidth="1"/>
    <col min="5597" max="5597" width="12.453125" style="3" customWidth="1"/>
    <col min="5598" max="5598" width="13" style="3" customWidth="1"/>
    <col min="5599" max="5599" width="14.54296875" style="3" customWidth="1"/>
    <col min="5600" max="5600" width="44.453125" style="3" customWidth="1"/>
    <col min="5601" max="5601" width="34.54296875" style="3" customWidth="1"/>
    <col min="5602" max="5602" width="37.453125" style="3" customWidth="1"/>
    <col min="5603" max="5603" width="19.81640625" style="3" customWidth="1"/>
    <col min="5604" max="5628" width="8.81640625" style="3"/>
    <col min="5629" max="5629" width="9.54296875" style="3" customWidth="1"/>
    <col min="5630" max="5630" width="50.54296875" style="3" customWidth="1"/>
    <col min="5631" max="5631" width="14.81640625" style="3" customWidth="1"/>
    <col min="5632" max="5632" width="15.54296875" style="3" customWidth="1"/>
    <col min="5633" max="5633" width="8.54296875" style="3" customWidth="1"/>
    <col min="5634" max="5634" width="21.1796875" style="3" customWidth="1"/>
    <col min="5635" max="5635" width="10.453125" style="3" customWidth="1"/>
    <col min="5636" max="5636" width="17.453125" style="3" customWidth="1"/>
    <col min="5637" max="5637" width="11.1796875" style="3" customWidth="1"/>
    <col min="5638" max="5638" width="17.453125" style="3" customWidth="1"/>
    <col min="5639" max="5639" width="9.453125" style="3" customWidth="1"/>
    <col min="5640" max="5640" width="17.453125" style="3" customWidth="1"/>
    <col min="5641" max="5641" width="10.453125" style="3" customWidth="1"/>
    <col min="5642" max="5642" width="19.453125" style="3" customWidth="1"/>
    <col min="5643" max="5643" width="17.453125" style="3" customWidth="1"/>
    <col min="5644" max="5644" width="43.81640625" style="3" customWidth="1"/>
    <col min="5645" max="5645" width="10.453125" style="3" customWidth="1"/>
    <col min="5646" max="5646" width="13.453125" style="3" customWidth="1"/>
    <col min="5647" max="5648" width="21.453125" style="3" customWidth="1"/>
    <col min="5649" max="5650" width="22" style="3" customWidth="1"/>
    <col min="5651" max="5652" width="22.453125" style="3" customWidth="1"/>
    <col min="5653" max="5654" width="22.81640625" style="3" customWidth="1"/>
    <col min="5655" max="5655" width="19.453125" style="3" customWidth="1"/>
    <col min="5656" max="5656" width="8.81640625" style="3"/>
    <col min="5657" max="5657" width="17.453125" style="3" customWidth="1"/>
    <col min="5658" max="5658" width="16" style="3" customWidth="1"/>
    <col min="5659" max="5660" width="17.453125" style="3" customWidth="1"/>
    <col min="5661" max="5661" width="16.453125" style="3" customWidth="1"/>
    <col min="5662" max="5662" width="8.81640625" style="3"/>
    <col min="5663" max="5663" width="22.453125" style="3" customWidth="1"/>
    <col min="5664" max="5664" width="22.1796875" style="3" customWidth="1"/>
    <col min="5665" max="5666" width="17.453125" style="3" customWidth="1"/>
    <col min="5667" max="5667" width="18.1796875" style="3" customWidth="1"/>
    <col min="5668" max="5845" width="8.81640625" style="3"/>
    <col min="5846" max="5846" width="1.453125" style="3" customWidth="1"/>
    <col min="5847" max="5847" width="51.453125" style="3" customWidth="1"/>
    <col min="5848" max="5848" width="12.453125" style="3" customWidth="1"/>
    <col min="5849" max="5849" width="21.453125" style="3" customWidth="1"/>
    <col min="5850" max="5850" width="12.453125" style="3" customWidth="1"/>
    <col min="5851" max="5851" width="14.453125" style="3" customWidth="1"/>
    <col min="5852" max="5852" width="15.1796875" style="3" customWidth="1"/>
    <col min="5853" max="5853" width="12.453125" style="3" customWidth="1"/>
    <col min="5854" max="5854" width="13" style="3" customWidth="1"/>
    <col min="5855" max="5855" width="14.54296875" style="3" customWidth="1"/>
    <col min="5856" max="5856" width="44.453125" style="3" customWidth="1"/>
    <col min="5857" max="5857" width="34.54296875" style="3" customWidth="1"/>
    <col min="5858" max="5858" width="37.453125" style="3" customWidth="1"/>
    <col min="5859" max="5859" width="19.81640625" style="3" customWidth="1"/>
    <col min="5860" max="5884" width="8.81640625" style="3"/>
    <col min="5885" max="5885" width="9.54296875" style="3" customWidth="1"/>
    <col min="5886" max="5886" width="50.54296875" style="3" customWidth="1"/>
    <col min="5887" max="5887" width="14.81640625" style="3" customWidth="1"/>
    <col min="5888" max="5888" width="15.54296875" style="3" customWidth="1"/>
    <col min="5889" max="5889" width="8.54296875" style="3" customWidth="1"/>
    <col min="5890" max="5890" width="21.1796875" style="3" customWidth="1"/>
    <col min="5891" max="5891" width="10.453125" style="3" customWidth="1"/>
    <col min="5892" max="5892" width="17.453125" style="3" customWidth="1"/>
    <col min="5893" max="5893" width="11.1796875" style="3" customWidth="1"/>
    <col min="5894" max="5894" width="17.453125" style="3" customWidth="1"/>
    <col min="5895" max="5895" width="9.453125" style="3" customWidth="1"/>
    <col min="5896" max="5896" width="17.453125" style="3" customWidth="1"/>
    <col min="5897" max="5897" width="10.453125" style="3" customWidth="1"/>
    <col min="5898" max="5898" width="19.453125" style="3" customWidth="1"/>
    <col min="5899" max="5899" width="17.453125" style="3" customWidth="1"/>
    <col min="5900" max="5900" width="43.81640625" style="3" customWidth="1"/>
    <col min="5901" max="5901" width="10.453125" style="3" customWidth="1"/>
    <col min="5902" max="5902" width="13.453125" style="3" customWidth="1"/>
    <col min="5903" max="5904" width="21.453125" style="3" customWidth="1"/>
    <col min="5905" max="5906" width="22" style="3" customWidth="1"/>
    <col min="5907" max="5908" width="22.453125" style="3" customWidth="1"/>
    <col min="5909" max="5910" width="22.81640625" style="3" customWidth="1"/>
    <col min="5911" max="5911" width="19.453125" style="3" customWidth="1"/>
    <col min="5912" max="5912" width="8.81640625" style="3"/>
    <col min="5913" max="5913" width="17.453125" style="3" customWidth="1"/>
    <col min="5914" max="5914" width="16" style="3" customWidth="1"/>
    <col min="5915" max="5916" width="17.453125" style="3" customWidth="1"/>
    <col min="5917" max="5917" width="16.453125" style="3" customWidth="1"/>
    <col min="5918" max="5918" width="8.81640625" style="3"/>
    <col min="5919" max="5919" width="22.453125" style="3" customWidth="1"/>
    <col min="5920" max="5920" width="22.1796875" style="3" customWidth="1"/>
    <col min="5921" max="5922" width="17.453125" style="3" customWidth="1"/>
    <col min="5923" max="5923" width="18.1796875" style="3" customWidth="1"/>
    <col min="5924" max="6101" width="8.81640625" style="3"/>
    <col min="6102" max="6102" width="1.453125" style="3" customWidth="1"/>
    <col min="6103" max="6103" width="51.453125" style="3" customWidth="1"/>
    <col min="6104" max="6104" width="12.453125" style="3" customWidth="1"/>
    <col min="6105" max="6105" width="21.453125" style="3" customWidth="1"/>
    <col min="6106" max="6106" width="12.453125" style="3" customWidth="1"/>
    <col min="6107" max="6107" width="14.453125" style="3" customWidth="1"/>
    <col min="6108" max="6108" width="15.1796875" style="3" customWidth="1"/>
    <col min="6109" max="6109" width="12.453125" style="3" customWidth="1"/>
    <col min="6110" max="6110" width="13" style="3" customWidth="1"/>
    <col min="6111" max="6111" width="14.54296875" style="3" customWidth="1"/>
    <col min="6112" max="6112" width="44.453125" style="3" customWidth="1"/>
    <col min="6113" max="6113" width="34.54296875" style="3" customWidth="1"/>
    <col min="6114" max="6114" width="37.453125" style="3" customWidth="1"/>
    <col min="6115" max="6115" width="19.81640625" style="3" customWidth="1"/>
    <col min="6116" max="6140" width="8.81640625" style="3"/>
    <col min="6141" max="6141" width="9.54296875" style="3" customWidth="1"/>
    <col min="6142" max="6142" width="50.54296875" style="3" customWidth="1"/>
    <col min="6143" max="6143" width="14.81640625" style="3" customWidth="1"/>
    <col min="6144" max="6144" width="15.54296875" style="3" customWidth="1"/>
    <col min="6145" max="6145" width="8.54296875" style="3" customWidth="1"/>
    <col min="6146" max="6146" width="21.1796875" style="3" customWidth="1"/>
    <col min="6147" max="6147" width="10.453125" style="3" customWidth="1"/>
    <col min="6148" max="6148" width="17.453125" style="3" customWidth="1"/>
    <col min="6149" max="6149" width="11.1796875" style="3" customWidth="1"/>
    <col min="6150" max="6150" width="17.453125" style="3" customWidth="1"/>
    <col min="6151" max="6151" width="9.453125" style="3" customWidth="1"/>
    <col min="6152" max="6152" width="17.453125" style="3" customWidth="1"/>
    <col min="6153" max="6153" width="10.453125" style="3" customWidth="1"/>
    <col min="6154" max="6154" width="19.453125" style="3" customWidth="1"/>
    <col min="6155" max="6155" width="17.453125" style="3" customWidth="1"/>
    <col min="6156" max="6156" width="43.81640625" style="3" customWidth="1"/>
    <col min="6157" max="6157" width="10.453125" style="3" customWidth="1"/>
    <col min="6158" max="6158" width="13.453125" style="3" customWidth="1"/>
    <col min="6159" max="6160" width="21.453125" style="3" customWidth="1"/>
    <col min="6161" max="6162" width="22" style="3" customWidth="1"/>
    <col min="6163" max="6164" width="22.453125" style="3" customWidth="1"/>
    <col min="6165" max="6166" width="22.81640625" style="3" customWidth="1"/>
    <col min="6167" max="6167" width="19.453125" style="3" customWidth="1"/>
    <col min="6168" max="6168" width="8.81640625" style="3"/>
    <col min="6169" max="6169" width="17.453125" style="3" customWidth="1"/>
    <col min="6170" max="6170" width="16" style="3" customWidth="1"/>
    <col min="6171" max="6172" width="17.453125" style="3" customWidth="1"/>
    <col min="6173" max="6173" width="16.453125" style="3" customWidth="1"/>
    <col min="6174" max="6174" width="8.81640625" style="3"/>
    <col min="6175" max="6175" width="22.453125" style="3" customWidth="1"/>
    <col min="6176" max="6176" width="22.1796875" style="3" customWidth="1"/>
    <col min="6177" max="6178" width="17.453125" style="3" customWidth="1"/>
    <col min="6179" max="6179" width="18.1796875" style="3" customWidth="1"/>
    <col min="6180" max="6357" width="8.81640625" style="3"/>
    <col min="6358" max="6358" width="1.453125" style="3" customWidth="1"/>
    <col min="6359" max="6359" width="51.453125" style="3" customWidth="1"/>
    <col min="6360" max="6360" width="12.453125" style="3" customWidth="1"/>
    <col min="6361" max="6361" width="21.453125" style="3" customWidth="1"/>
    <col min="6362" max="6362" width="12.453125" style="3" customWidth="1"/>
    <col min="6363" max="6363" width="14.453125" style="3" customWidth="1"/>
    <col min="6364" max="6364" width="15.1796875" style="3" customWidth="1"/>
    <col min="6365" max="6365" width="12.453125" style="3" customWidth="1"/>
    <col min="6366" max="6366" width="13" style="3" customWidth="1"/>
    <col min="6367" max="6367" width="14.54296875" style="3" customWidth="1"/>
    <col min="6368" max="6368" width="44.453125" style="3" customWidth="1"/>
    <col min="6369" max="6369" width="34.54296875" style="3" customWidth="1"/>
    <col min="6370" max="6370" width="37.453125" style="3" customWidth="1"/>
    <col min="6371" max="6371" width="19.81640625" style="3" customWidth="1"/>
    <col min="6372" max="6396" width="8.81640625" style="3"/>
    <col min="6397" max="6397" width="9.54296875" style="3" customWidth="1"/>
    <col min="6398" max="6398" width="50.54296875" style="3" customWidth="1"/>
    <col min="6399" max="6399" width="14.81640625" style="3" customWidth="1"/>
    <col min="6400" max="6400" width="15.54296875" style="3" customWidth="1"/>
    <col min="6401" max="6401" width="8.54296875" style="3" customWidth="1"/>
    <col min="6402" max="6402" width="21.1796875" style="3" customWidth="1"/>
    <col min="6403" max="6403" width="10.453125" style="3" customWidth="1"/>
    <col min="6404" max="6404" width="17.453125" style="3" customWidth="1"/>
    <col min="6405" max="6405" width="11.1796875" style="3" customWidth="1"/>
    <col min="6406" max="6406" width="17.453125" style="3" customWidth="1"/>
    <col min="6407" max="6407" width="9.453125" style="3" customWidth="1"/>
    <col min="6408" max="6408" width="17.453125" style="3" customWidth="1"/>
    <col min="6409" max="6409" width="10.453125" style="3" customWidth="1"/>
    <col min="6410" max="6410" width="19.453125" style="3" customWidth="1"/>
    <col min="6411" max="6411" width="17.453125" style="3" customWidth="1"/>
    <col min="6412" max="6412" width="43.81640625" style="3" customWidth="1"/>
    <col min="6413" max="6413" width="10.453125" style="3" customWidth="1"/>
    <col min="6414" max="6414" width="13.453125" style="3" customWidth="1"/>
    <col min="6415" max="6416" width="21.453125" style="3" customWidth="1"/>
    <col min="6417" max="6418" width="22" style="3" customWidth="1"/>
    <col min="6419" max="6420" width="22.453125" style="3" customWidth="1"/>
    <col min="6421" max="6422" width="22.81640625" style="3" customWidth="1"/>
    <col min="6423" max="6423" width="19.453125" style="3" customWidth="1"/>
    <col min="6424" max="6424" width="8.81640625" style="3"/>
    <col min="6425" max="6425" width="17.453125" style="3" customWidth="1"/>
    <col min="6426" max="6426" width="16" style="3" customWidth="1"/>
    <col min="6427" max="6428" width="17.453125" style="3" customWidth="1"/>
    <col min="6429" max="6429" width="16.453125" style="3" customWidth="1"/>
    <col min="6430" max="6430" width="8.81640625" style="3"/>
    <col min="6431" max="6431" width="22.453125" style="3" customWidth="1"/>
    <col min="6432" max="6432" width="22.1796875" style="3" customWidth="1"/>
    <col min="6433" max="6434" width="17.453125" style="3" customWidth="1"/>
    <col min="6435" max="6435" width="18.1796875" style="3" customWidth="1"/>
    <col min="6436" max="6613" width="8.81640625" style="3"/>
    <col min="6614" max="6614" width="1.453125" style="3" customWidth="1"/>
    <col min="6615" max="6615" width="51.453125" style="3" customWidth="1"/>
    <col min="6616" max="6616" width="12.453125" style="3" customWidth="1"/>
    <col min="6617" max="6617" width="21.453125" style="3" customWidth="1"/>
    <col min="6618" max="6618" width="12.453125" style="3" customWidth="1"/>
    <col min="6619" max="6619" width="14.453125" style="3" customWidth="1"/>
    <col min="6620" max="6620" width="15.1796875" style="3" customWidth="1"/>
    <col min="6621" max="6621" width="12.453125" style="3" customWidth="1"/>
    <col min="6622" max="6622" width="13" style="3" customWidth="1"/>
    <col min="6623" max="6623" width="14.54296875" style="3" customWidth="1"/>
    <col min="6624" max="6624" width="44.453125" style="3" customWidth="1"/>
    <col min="6625" max="6625" width="34.54296875" style="3" customWidth="1"/>
    <col min="6626" max="6626" width="37.453125" style="3" customWidth="1"/>
    <col min="6627" max="6627" width="19.81640625" style="3" customWidth="1"/>
    <col min="6628" max="6652" width="8.81640625" style="3"/>
    <col min="6653" max="6653" width="9.54296875" style="3" customWidth="1"/>
    <col min="6654" max="6654" width="50.54296875" style="3" customWidth="1"/>
    <col min="6655" max="6655" width="14.81640625" style="3" customWidth="1"/>
    <col min="6656" max="6656" width="15.54296875" style="3" customWidth="1"/>
    <col min="6657" max="6657" width="8.54296875" style="3" customWidth="1"/>
    <col min="6658" max="6658" width="21.1796875" style="3" customWidth="1"/>
    <col min="6659" max="6659" width="10.453125" style="3" customWidth="1"/>
    <col min="6660" max="6660" width="17.453125" style="3" customWidth="1"/>
    <col min="6661" max="6661" width="11.1796875" style="3" customWidth="1"/>
    <col min="6662" max="6662" width="17.453125" style="3" customWidth="1"/>
    <col min="6663" max="6663" width="9.453125" style="3" customWidth="1"/>
    <col min="6664" max="6664" width="17.453125" style="3" customWidth="1"/>
    <col min="6665" max="6665" width="10.453125" style="3" customWidth="1"/>
    <col min="6666" max="6666" width="19.453125" style="3" customWidth="1"/>
    <col min="6667" max="6667" width="17.453125" style="3" customWidth="1"/>
    <col min="6668" max="6668" width="43.81640625" style="3" customWidth="1"/>
    <col min="6669" max="6669" width="10.453125" style="3" customWidth="1"/>
    <col min="6670" max="6670" width="13.453125" style="3" customWidth="1"/>
    <col min="6671" max="6672" width="21.453125" style="3" customWidth="1"/>
    <col min="6673" max="6674" width="22" style="3" customWidth="1"/>
    <col min="6675" max="6676" width="22.453125" style="3" customWidth="1"/>
    <col min="6677" max="6678" width="22.81640625" style="3" customWidth="1"/>
    <col min="6679" max="6679" width="19.453125" style="3" customWidth="1"/>
    <col min="6680" max="6680" width="8.81640625" style="3"/>
    <col min="6681" max="6681" width="17.453125" style="3" customWidth="1"/>
    <col min="6682" max="6682" width="16" style="3" customWidth="1"/>
    <col min="6683" max="6684" width="17.453125" style="3" customWidth="1"/>
    <col min="6685" max="6685" width="16.453125" style="3" customWidth="1"/>
    <col min="6686" max="6686" width="8.81640625" style="3"/>
    <col min="6687" max="6687" width="22.453125" style="3" customWidth="1"/>
    <col min="6688" max="6688" width="22.1796875" style="3" customWidth="1"/>
    <col min="6689" max="6690" width="17.453125" style="3" customWidth="1"/>
    <col min="6691" max="6691" width="18.1796875" style="3" customWidth="1"/>
    <col min="6692" max="6869" width="8.81640625" style="3"/>
    <col min="6870" max="6870" width="1.453125" style="3" customWidth="1"/>
    <col min="6871" max="6871" width="51.453125" style="3" customWidth="1"/>
    <col min="6872" max="6872" width="12.453125" style="3" customWidth="1"/>
    <col min="6873" max="6873" width="21.453125" style="3" customWidth="1"/>
    <col min="6874" max="6874" width="12.453125" style="3" customWidth="1"/>
    <col min="6875" max="6875" width="14.453125" style="3" customWidth="1"/>
    <col min="6876" max="6876" width="15.1796875" style="3" customWidth="1"/>
    <col min="6877" max="6877" width="12.453125" style="3" customWidth="1"/>
    <col min="6878" max="6878" width="13" style="3" customWidth="1"/>
    <col min="6879" max="6879" width="14.54296875" style="3" customWidth="1"/>
    <col min="6880" max="6880" width="44.453125" style="3" customWidth="1"/>
    <col min="6881" max="6881" width="34.54296875" style="3" customWidth="1"/>
    <col min="6882" max="6882" width="37.453125" style="3" customWidth="1"/>
    <col min="6883" max="6883" width="19.81640625" style="3" customWidth="1"/>
    <col min="6884" max="6908" width="8.81640625" style="3"/>
    <col min="6909" max="6909" width="9.54296875" style="3" customWidth="1"/>
    <col min="6910" max="6910" width="50.54296875" style="3" customWidth="1"/>
    <col min="6911" max="6911" width="14.81640625" style="3" customWidth="1"/>
    <col min="6912" max="6912" width="15.54296875" style="3" customWidth="1"/>
    <col min="6913" max="6913" width="8.54296875" style="3" customWidth="1"/>
    <col min="6914" max="6914" width="21.1796875" style="3" customWidth="1"/>
    <col min="6915" max="6915" width="10.453125" style="3" customWidth="1"/>
    <col min="6916" max="6916" width="17.453125" style="3" customWidth="1"/>
    <col min="6917" max="6917" width="11.1796875" style="3" customWidth="1"/>
    <col min="6918" max="6918" width="17.453125" style="3" customWidth="1"/>
    <col min="6919" max="6919" width="9.453125" style="3" customWidth="1"/>
    <col min="6920" max="6920" width="17.453125" style="3" customWidth="1"/>
    <col min="6921" max="6921" width="10.453125" style="3" customWidth="1"/>
    <col min="6922" max="6922" width="19.453125" style="3" customWidth="1"/>
    <col min="6923" max="6923" width="17.453125" style="3" customWidth="1"/>
    <col min="6924" max="6924" width="43.81640625" style="3" customWidth="1"/>
    <col min="6925" max="6925" width="10.453125" style="3" customWidth="1"/>
    <col min="6926" max="6926" width="13.453125" style="3" customWidth="1"/>
    <col min="6927" max="6928" width="21.453125" style="3" customWidth="1"/>
    <col min="6929" max="6930" width="22" style="3" customWidth="1"/>
    <col min="6931" max="6932" width="22.453125" style="3" customWidth="1"/>
    <col min="6933" max="6934" width="22.81640625" style="3" customWidth="1"/>
    <col min="6935" max="6935" width="19.453125" style="3" customWidth="1"/>
    <col min="6936" max="6936" width="8.81640625" style="3"/>
    <col min="6937" max="6937" width="17.453125" style="3" customWidth="1"/>
    <col min="6938" max="6938" width="16" style="3" customWidth="1"/>
    <col min="6939" max="6940" width="17.453125" style="3" customWidth="1"/>
    <col min="6941" max="6941" width="16.453125" style="3" customWidth="1"/>
    <col min="6942" max="6942" width="8.81640625" style="3"/>
    <col min="6943" max="6943" width="22.453125" style="3" customWidth="1"/>
    <col min="6944" max="6944" width="22.1796875" style="3" customWidth="1"/>
    <col min="6945" max="6946" width="17.453125" style="3" customWidth="1"/>
    <col min="6947" max="6947" width="18.1796875" style="3" customWidth="1"/>
    <col min="6948" max="7125" width="8.81640625" style="3"/>
    <col min="7126" max="7126" width="1.453125" style="3" customWidth="1"/>
    <col min="7127" max="7127" width="51.453125" style="3" customWidth="1"/>
    <col min="7128" max="7128" width="12.453125" style="3" customWidth="1"/>
    <col min="7129" max="7129" width="21.453125" style="3" customWidth="1"/>
    <col min="7130" max="7130" width="12.453125" style="3" customWidth="1"/>
    <col min="7131" max="7131" width="14.453125" style="3" customWidth="1"/>
    <col min="7132" max="7132" width="15.1796875" style="3" customWidth="1"/>
    <col min="7133" max="7133" width="12.453125" style="3" customWidth="1"/>
    <col min="7134" max="7134" width="13" style="3" customWidth="1"/>
    <col min="7135" max="7135" width="14.54296875" style="3" customWidth="1"/>
    <col min="7136" max="7136" width="44.453125" style="3" customWidth="1"/>
    <col min="7137" max="7137" width="34.54296875" style="3" customWidth="1"/>
    <col min="7138" max="7138" width="37.453125" style="3" customWidth="1"/>
    <col min="7139" max="7139" width="19.81640625" style="3" customWidth="1"/>
    <col min="7140" max="7164" width="8.81640625" style="3"/>
    <col min="7165" max="7165" width="9.54296875" style="3" customWidth="1"/>
    <col min="7166" max="7166" width="50.54296875" style="3" customWidth="1"/>
    <col min="7167" max="7167" width="14.81640625" style="3" customWidth="1"/>
    <col min="7168" max="7168" width="15.54296875" style="3" customWidth="1"/>
    <col min="7169" max="7169" width="8.54296875" style="3" customWidth="1"/>
    <col min="7170" max="7170" width="21.1796875" style="3" customWidth="1"/>
    <col min="7171" max="7171" width="10.453125" style="3" customWidth="1"/>
    <col min="7172" max="7172" width="17.453125" style="3" customWidth="1"/>
    <col min="7173" max="7173" width="11.1796875" style="3" customWidth="1"/>
    <col min="7174" max="7174" width="17.453125" style="3" customWidth="1"/>
    <col min="7175" max="7175" width="9.453125" style="3" customWidth="1"/>
    <col min="7176" max="7176" width="17.453125" style="3" customWidth="1"/>
    <col min="7177" max="7177" width="10.453125" style="3" customWidth="1"/>
    <col min="7178" max="7178" width="19.453125" style="3" customWidth="1"/>
    <col min="7179" max="7179" width="17.453125" style="3" customWidth="1"/>
    <col min="7180" max="7180" width="43.81640625" style="3" customWidth="1"/>
    <col min="7181" max="7181" width="10.453125" style="3" customWidth="1"/>
    <col min="7182" max="7182" width="13.453125" style="3" customWidth="1"/>
    <col min="7183" max="7184" width="21.453125" style="3" customWidth="1"/>
    <col min="7185" max="7186" width="22" style="3" customWidth="1"/>
    <col min="7187" max="7188" width="22.453125" style="3" customWidth="1"/>
    <col min="7189" max="7190" width="22.81640625" style="3" customWidth="1"/>
    <col min="7191" max="7191" width="19.453125" style="3" customWidth="1"/>
    <col min="7192" max="7192" width="8.81640625" style="3"/>
    <col min="7193" max="7193" width="17.453125" style="3" customWidth="1"/>
    <col min="7194" max="7194" width="16" style="3" customWidth="1"/>
    <col min="7195" max="7196" width="17.453125" style="3" customWidth="1"/>
    <col min="7197" max="7197" width="16.453125" style="3" customWidth="1"/>
    <col min="7198" max="7198" width="8.81640625" style="3"/>
    <col min="7199" max="7199" width="22.453125" style="3" customWidth="1"/>
    <col min="7200" max="7200" width="22.1796875" style="3" customWidth="1"/>
    <col min="7201" max="7202" width="17.453125" style="3" customWidth="1"/>
    <col min="7203" max="7203" width="18.1796875" style="3" customWidth="1"/>
    <col min="7204" max="7381" width="8.81640625" style="3"/>
    <col min="7382" max="7382" width="1.453125" style="3" customWidth="1"/>
    <col min="7383" max="7383" width="51.453125" style="3" customWidth="1"/>
    <col min="7384" max="7384" width="12.453125" style="3" customWidth="1"/>
    <col min="7385" max="7385" width="21.453125" style="3" customWidth="1"/>
    <col min="7386" max="7386" width="12.453125" style="3" customWidth="1"/>
    <col min="7387" max="7387" width="14.453125" style="3" customWidth="1"/>
    <col min="7388" max="7388" width="15.1796875" style="3" customWidth="1"/>
    <col min="7389" max="7389" width="12.453125" style="3" customWidth="1"/>
    <col min="7390" max="7390" width="13" style="3" customWidth="1"/>
    <col min="7391" max="7391" width="14.54296875" style="3" customWidth="1"/>
    <col min="7392" max="7392" width="44.453125" style="3" customWidth="1"/>
    <col min="7393" max="7393" width="34.54296875" style="3" customWidth="1"/>
    <col min="7394" max="7394" width="37.453125" style="3" customWidth="1"/>
    <col min="7395" max="7395" width="19.81640625" style="3" customWidth="1"/>
    <col min="7396" max="7420" width="8.81640625" style="3"/>
    <col min="7421" max="7421" width="9.54296875" style="3" customWidth="1"/>
    <col min="7422" max="7422" width="50.54296875" style="3" customWidth="1"/>
    <col min="7423" max="7423" width="14.81640625" style="3" customWidth="1"/>
    <col min="7424" max="7424" width="15.54296875" style="3" customWidth="1"/>
    <col min="7425" max="7425" width="8.54296875" style="3" customWidth="1"/>
    <col min="7426" max="7426" width="21.1796875" style="3" customWidth="1"/>
    <col min="7427" max="7427" width="10.453125" style="3" customWidth="1"/>
    <col min="7428" max="7428" width="17.453125" style="3" customWidth="1"/>
    <col min="7429" max="7429" width="11.1796875" style="3" customWidth="1"/>
    <col min="7430" max="7430" width="17.453125" style="3" customWidth="1"/>
    <col min="7431" max="7431" width="9.453125" style="3" customWidth="1"/>
    <col min="7432" max="7432" width="17.453125" style="3" customWidth="1"/>
    <col min="7433" max="7433" width="10.453125" style="3" customWidth="1"/>
    <col min="7434" max="7434" width="19.453125" style="3" customWidth="1"/>
    <col min="7435" max="7435" width="17.453125" style="3" customWidth="1"/>
    <col min="7436" max="7436" width="43.81640625" style="3" customWidth="1"/>
    <col min="7437" max="7437" width="10.453125" style="3" customWidth="1"/>
    <col min="7438" max="7438" width="13.453125" style="3" customWidth="1"/>
    <col min="7439" max="7440" width="21.453125" style="3" customWidth="1"/>
    <col min="7441" max="7442" width="22" style="3" customWidth="1"/>
    <col min="7443" max="7444" width="22.453125" style="3" customWidth="1"/>
    <col min="7445" max="7446" width="22.81640625" style="3" customWidth="1"/>
    <col min="7447" max="7447" width="19.453125" style="3" customWidth="1"/>
    <col min="7448" max="7448" width="8.81640625" style="3"/>
    <col min="7449" max="7449" width="17.453125" style="3" customWidth="1"/>
    <col min="7450" max="7450" width="16" style="3" customWidth="1"/>
    <col min="7451" max="7452" width="17.453125" style="3" customWidth="1"/>
    <col min="7453" max="7453" width="16.453125" style="3" customWidth="1"/>
    <col min="7454" max="7454" width="8.81640625" style="3"/>
    <col min="7455" max="7455" width="22.453125" style="3" customWidth="1"/>
    <col min="7456" max="7456" width="22.1796875" style="3" customWidth="1"/>
    <col min="7457" max="7458" width="17.453125" style="3" customWidth="1"/>
    <col min="7459" max="7459" width="18.1796875" style="3" customWidth="1"/>
    <col min="7460" max="7637" width="8.81640625" style="3"/>
    <col min="7638" max="7638" width="1.453125" style="3" customWidth="1"/>
    <col min="7639" max="7639" width="51.453125" style="3" customWidth="1"/>
    <col min="7640" max="7640" width="12.453125" style="3" customWidth="1"/>
    <col min="7641" max="7641" width="21.453125" style="3" customWidth="1"/>
    <col min="7642" max="7642" width="12.453125" style="3" customWidth="1"/>
    <col min="7643" max="7643" width="14.453125" style="3" customWidth="1"/>
    <col min="7644" max="7644" width="15.1796875" style="3" customWidth="1"/>
    <col min="7645" max="7645" width="12.453125" style="3" customWidth="1"/>
    <col min="7646" max="7646" width="13" style="3" customWidth="1"/>
    <col min="7647" max="7647" width="14.54296875" style="3" customWidth="1"/>
    <col min="7648" max="7648" width="44.453125" style="3" customWidth="1"/>
    <col min="7649" max="7649" width="34.54296875" style="3" customWidth="1"/>
    <col min="7650" max="7650" width="37.453125" style="3" customWidth="1"/>
    <col min="7651" max="7651" width="19.81640625" style="3" customWidth="1"/>
    <col min="7652" max="7676" width="8.81640625" style="3"/>
    <col min="7677" max="7677" width="9.54296875" style="3" customWidth="1"/>
    <col min="7678" max="7678" width="50.54296875" style="3" customWidth="1"/>
    <col min="7679" max="7679" width="14.81640625" style="3" customWidth="1"/>
    <col min="7680" max="7680" width="15.54296875" style="3" customWidth="1"/>
    <col min="7681" max="7681" width="8.54296875" style="3" customWidth="1"/>
    <col min="7682" max="7682" width="21.1796875" style="3" customWidth="1"/>
    <col min="7683" max="7683" width="10.453125" style="3" customWidth="1"/>
    <col min="7684" max="7684" width="17.453125" style="3" customWidth="1"/>
    <col min="7685" max="7685" width="11.1796875" style="3" customWidth="1"/>
    <col min="7686" max="7686" width="17.453125" style="3" customWidth="1"/>
    <col min="7687" max="7687" width="9.453125" style="3" customWidth="1"/>
    <col min="7688" max="7688" width="17.453125" style="3" customWidth="1"/>
    <col min="7689" max="7689" width="10.453125" style="3" customWidth="1"/>
    <col min="7690" max="7690" width="19.453125" style="3" customWidth="1"/>
    <col min="7691" max="7691" width="17.453125" style="3" customWidth="1"/>
    <col min="7692" max="7692" width="43.81640625" style="3" customWidth="1"/>
    <col min="7693" max="7693" width="10.453125" style="3" customWidth="1"/>
    <col min="7694" max="7694" width="13.453125" style="3" customWidth="1"/>
    <col min="7695" max="7696" width="21.453125" style="3" customWidth="1"/>
    <col min="7697" max="7698" width="22" style="3" customWidth="1"/>
    <col min="7699" max="7700" width="22.453125" style="3" customWidth="1"/>
    <col min="7701" max="7702" width="22.81640625" style="3" customWidth="1"/>
    <col min="7703" max="7703" width="19.453125" style="3" customWidth="1"/>
    <col min="7704" max="7704" width="8.81640625" style="3"/>
    <col min="7705" max="7705" width="17.453125" style="3" customWidth="1"/>
    <col min="7706" max="7706" width="16" style="3" customWidth="1"/>
    <col min="7707" max="7708" width="17.453125" style="3" customWidth="1"/>
    <col min="7709" max="7709" width="16.453125" style="3" customWidth="1"/>
    <col min="7710" max="7710" width="8.81640625" style="3"/>
    <col min="7711" max="7711" width="22.453125" style="3" customWidth="1"/>
    <col min="7712" max="7712" width="22.1796875" style="3" customWidth="1"/>
    <col min="7713" max="7714" width="17.453125" style="3" customWidth="1"/>
    <col min="7715" max="7715" width="18.1796875" style="3" customWidth="1"/>
    <col min="7716" max="7893" width="8.81640625" style="3"/>
    <col min="7894" max="7894" width="1.453125" style="3" customWidth="1"/>
    <col min="7895" max="7895" width="51.453125" style="3" customWidth="1"/>
    <col min="7896" max="7896" width="12.453125" style="3" customWidth="1"/>
    <col min="7897" max="7897" width="21.453125" style="3" customWidth="1"/>
    <col min="7898" max="7898" width="12.453125" style="3" customWidth="1"/>
    <col min="7899" max="7899" width="14.453125" style="3" customWidth="1"/>
    <col min="7900" max="7900" width="15.1796875" style="3" customWidth="1"/>
    <col min="7901" max="7901" width="12.453125" style="3" customWidth="1"/>
    <col min="7902" max="7902" width="13" style="3" customWidth="1"/>
    <col min="7903" max="7903" width="14.54296875" style="3" customWidth="1"/>
    <col min="7904" max="7904" width="44.453125" style="3" customWidth="1"/>
    <col min="7905" max="7905" width="34.54296875" style="3" customWidth="1"/>
    <col min="7906" max="7906" width="37.453125" style="3" customWidth="1"/>
    <col min="7907" max="7907" width="19.81640625" style="3" customWidth="1"/>
    <col min="7908" max="7932" width="8.81640625" style="3"/>
    <col min="7933" max="7933" width="9.54296875" style="3" customWidth="1"/>
    <col min="7934" max="7934" width="50.54296875" style="3" customWidth="1"/>
    <col min="7935" max="7935" width="14.81640625" style="3" customWidth="1"/>
    <col min="7936" max="7936" width="15.54296875" style="3" customWidth="1"/>
    <col min="7937" max="7937" width="8.54296875" style="3" customWidth="1"/>
    <col min="7938" max="7938" width="21.1796875" style="3" customWidth="1"/>
    <col min="7939" max="7939" width="10.453125" style="3" customWidth="1"/>
    <col min="7940" max="7940" width="17.453125" style="3" customWidth="1"/>
    <col min="7941" max="7941" width="11.1796875" style="3" customWidth="1"/>
    <col min="7942" max="7942" width="17.453125" style="3" customWidth="1"/>
    <col min="7943" max="7943" width="9.453125" style="3" customWidth="1"/>
    <col min="7944" max="7944" width="17.453125" style="3" customWidth="1"/>
    <col min="7945" max="7945" width="10.453125" style="3" customWidth="1"/>
    <col min="7946" max="7946" width="19.453125" style="3" customWidth="1"/>
    <col min="7947" max="7947" width="17.453125" style="3" customWidth="1"/>
    <col min="7948" max="7948" width="43.81640625" style="3" customWidth="1"/>
    <col min="7949" max="7949" width="10.453125" style="3" customWidth="1"/>
    <col min="7950" max="7950" width="13.453125" style="3" customWidth="1"/>
    <col min="7951" max="7952" width="21.453125" style="3" customWidth="1"/>
    <col min="7953" max="7954" width="22" style="3" customWidth="1"/>
    <col min="7955" max="7956" width="22.453125" style="3" customWidth="1"/>
    <col min="7957" max="7958" width="22.81640625" style="3" customWidth="1"/>
    <col min="7959" max="7959" width="19.453125" style="3" customWidth="1"/>
    <col min="7960" max="7960" width="8.81640625" style="3"/>
    <col min="7961" max="7961" width="17.453125" style="3" customWidth="1"/>
    <col min="7962" max="7962" width="16" style="3" customWidth="1"/>
    <col min="7963" max="7964" width="17.453125" style="3" customWidth="1"/>
    <col min="7965" max="7965" width="16.453125" style="3" customWidth="1"/>
    <col min="7966" max="7966" width="8.81640625" style="3"/>
    <col min="7967" max="7967" width="22.453125" style="3" customWidth="1"/>
    <col min="7968" max="7968" width="22.1796875" style="3" customWidth="1"/>
    <col min="7969" max="7970" width="17.453125" style="3" customWidth="1"/>
    <col min="7971" max="7971" width="18.1796875" style="3" customWidth="1"/>
    <col min="7972" max="8149" width="8.81640625" style="3"/>
    <col min="8150" max="8150" width="1.453125" style="3" customWidth="1"/>
    <col min="8151" max="8151" width="51.453125" style="3" customWidth="1"/>
    <col min="8152" max="8152" width="12.453125" style="3" customWidth="1"/>
    <col min="8153" max="8153" width="21.453125" style="3" customWidth="1"/>
    <col min="8154" max="8154" width="12.453125" style="3" customWidth="1"/>
    <col min="8155" max="8155" width="14.453125" style="3" customWidth="1"/>
    <col min="8156" max="8156" width="15.1796875" style="3" customWidth="1"/>
    <col min="8157" max="8157" width="12.453125" style="3" customWidth="1"/>
    <col min="8158" max="8158" width="13" style="3" customWidth="1"/>
    <col min="8159" max="8159" width="14.54296875" style="3" customWidth="1"/>
    <col min="8160" max="8160" width="44.453125" style="3" customWidth="1"/>
    <col min="8161" max="8161" width="34.54296875" style="3" customWidth="1"/>
    <col min="8162" max="8162" width="37.453125" style="3" customWidth="1"/>
    <col min="8163" max="8163" width="19.81640625" style="3" customWidth="1"/>
    <col min="8164" max="8188" width="8.81640625" style="3"/>
    <col min="8189" max="8189" width="9.54296875" style="3" customWidth="1"/>
    <col min="8190" max="8190" width="50.54296875" style="3" customWidth="1"/>
    <col min="8191" max="8191" width="14.81640625" style="3" customWidth="1"/>
    <col min="8192" max="8192" width="15.54296875" style="3" customWidth="1"/>
    <col min="8193" max="8193" width="8.54296875" style="3" customWidth="1"/>
    <col min="8194" max="8194" width="21.1796875" style="3" customWidth="1"/>
    <col min="8195" max="8195" width="10.453125" style="3" customWidth="1"/>
    <col min="8196" max="8196" width="17.453125" style="3" customWidth="1"/>
    <col min="8197" max="8197" width="11.1796875" style="3" customWidth="1"/>
    <col min="8198" max="8198" width="17.453125" style="3" customWidth="1"/>
    <col min="8199" max="8199" width="9.453125" style="3" customWidth="1"/>
    <col min="8200" max="8200" width="17.453125" style="3" customWidth="1"/>
    <col min="8201" max="8201" width="10.453125" style="3" customWidth="1"/>
    <col min="8202" max="8202" width="19.453125" style="3" customWidth="1"/>
    <col min="8203" max="8203" width="17.453125" style="3" customWidth="1"/>
    <col min="8204" max="8204" width="43.81640625" style="3" customWidth="1"/>
    <col min="8205" max="8205" width="10.453125" style="3" customWidth="1"/>
    <col min="8206" max="8206" width="13.453125" style="3" customWidth="1"/>
    <col min="8207" max="8208" width="21.453125" style="3" customWidth="1"/>
    <col min="8209" max="8210" width="22" style="3" customWidth="1"/>
    <col min="8211" max="8212" width="22.453125" style="3" customWidth="1"/>
    <col min="8213" max="8214" width="22.81640625" style="3" customWidth="1"/>
    <col min="8215" max="8215" width="19.453125" style="3" customWidth="1"/>
    <col min="8216" max="8216" width="8.81640625" style="3"/>
    <col min="8217" max="8217" width="17.453125" style="3" customWidth="1"/>
    <col min="8218" max="8218" width="16" style="3" customWidth="1"/>
    <col min="8219" max="8220" width="17.453125" style="3" customWidth="1"/>
    <col min="8221" max="8221" width="16.453125" style="3" customWidth="1"/>
    <col min="8222" max="8222" width="8.81640625" style="3"/>
    <col min="8223" max="8223" width="22.453125" style="3" customWidth="1"/>
    <col min="8224" max="8224" width="22.1796875" style="3" customWidth="1"/>
    <col min="8225" max="8226" width="17.453125" style="3" customWidth="1"/>
    <col min="8227" max="8227" width="18.1796875" style="3" customWidth="1"/>
    <col min="8228" max="8405" width="8.81640625" style="3"/>
    <col min="8406" max="8406" width="1.453125" style="3" customWidth="1"/>
    <col min="8407" max="8407" width="51.453125" style="3" customWidth="1"/>
    <col min="8408" max="8408" width="12.453125" style="3" customWidth="1"/>
    <col min="8409" max="8409" width="21.453125" style="3" customWidth="1"/>
    <col min="8410" max="8410" width="12.453125" style="3" customWidth="1"/>
    <col min="8411" max="8411" width="14.453125" style="3" customWidth="1"/>
    <col min="8412" max="8412" width="15.1796875" style="3" customWidth="1"/>
    <col min="8413" max="8413" width="12.453125" style="3" customWidth="1"/>
    <col min="8414" max="8414" width="13" style="3" customWidth="1"/>
    <col min="8415" max="8415" width="14.54296875" style="3" customWidth="1"/>
    <col min="8416" max="8416" width="44.453125" style="3" customWidth="1"/>
    <col min="8417" max="8417" width="34.54296875" style="3" customWidth="1"/>
    <col min="8418" max="8418" width="37.453125" style="3" customWidth="1"/>
    <col min="8419" max="8419" width="19.81640625" style="3" customWidth="1"/>
    <col min="8420" max="8444" width="8.81640625" style="3"/>
    <col min="8445" max="8445" width="9.54296875" style="3" customWidth="1"/>
    <col min="8446" max="8446" width="50.54296875" style="3" customWidth="1"/>
    <col min="8447" max="8447" width="14.81640625" style="3" customWidth="1"/>
    <col min="8448" max="8448" width="15.54296875" style="3" customWidth="1"/>
    <col min="8449" max="8449" width="8.54296875" style="3" customWidth="1"/>
    <col min="8450" max="8450" width="21.1796875" style="3" customWidth="1"/>
    <col min="8451" max="8451" width="10.453125" style="3" customWidth="1"/>
    <col min="8452" max="8452" width="17.453125" style="3" customWidth="1"/>
    <col min="8453" max="8453" width="11.1796875" style="3" customWidth="1"/>
    <col min="8454" max="8454" width="17.453125" style="3" customWidth="1"/>
    <col min="8455" max="8455" width="9.453125" style="3" customWidth="1"/>
    <col min="8456" max="8456" width="17.453125" style="3" customWidth="1"/>
    <col min="8457" max="8457" width="10.453125" style="3" customWidth="1"/>
    <col min="8458" max="8458" width="19.453125" style="3" customWidth="1"/>
    <col min="8459" max="8459" width="17.453125" style="3" customWidth="1"/>
    <col min="8460" max="8460" width="43.81640625" style="3" customWidth="1"/>
    <col min="8461" max="8461" width="10.453125" style="3" customWidth="1"/>
    <col min="8462" max="8462" width="13.453125" style="3" customWidth="1"/>
    <col min="8463" max="8464" width="21.453125" style="3" customWidth="1"/>
    <col min="8465" max="8466" width="22" style="3" customWidth="1"/>
    <col min="8467" max="8468" width="22.453125" style="3" customWidth="1"/>
    <col min="8469" max="8470" width="22.81640625" style="3" customWidth="1"/>
    <col min="8471" max="8471" width="19.453125" style="3" customWidth="1"/>
    <col min="8472" max="8472" width="8.81640625" style="3"/>
    <col min="8473" max="8473" width="17.453125" style="3" customWidth="1"/>
    <col min="8474" max="8474" width="16" style="3" customWidth="1"/>
    <col min="8475" max="8476" width="17.453125" style="3" customWidth="1"/>
    <col min="8477" max="8477" width="16.453125" style="3" customWidth="1"/>
    <col min="8478" max="8478" width="8.81640625" style="3"/>
    <col min="8479" max="8479" width="22.453125" style="3" customWidth="1"/>
    <col min="8480" max="8480" width="22.1796875" style="3" customWidth="1"/>
    <col min="8481" max="8482" width="17.453125" style="3" customWidth="1"/>
    <col min="8483" max="8483" width="18.1796875" style="3" customWidth="1"/>
    <col min="8484" max="8661" width="8.81640625" style="3"/>
    <col min="8662" max="8662" width="1.453125" style="3" customWidth="1"/>
    <col min="8663" max="8663" width="51.453125" style="3" customWidth="1"/>
    <col min="8664" max="8664" width="12.453125" style="3" customWidth="1"/>
    <col min="8665" max="8665" width="21.453125" style="3" customWidth="1"/>
    <col min="8666" max="8666" width="12.453125" style="3" customWidth="1"/>
    <col min="8667" max="8667" width="14.453125" style="3" customWidth="1"/>
    <col min="8668" max="8668" width="15.1796875" style="3" customWidth="1"/>
    <col min="8669" max="8669" width="12.453125" style="3" customWidth="1"/>
    <col min="8670" max="8670" width="13" style="3" customWidth="1"/>
    <col min="8671" max="8671" width="14.54296875" style="3" customWidth="1"/>
    <col min="8672" max="8672" width="44.453125" style="3" customWidth="1"/>
    <col min="8673" max="8673" width="34.54296875" style="3" customWidth="1"/>
    <col min="8674" max="8674" width="37.453125" style="3" customWidth="1"/>
    <col min="8675" max="8675" width="19.81640625" style="3" customWidth="1"/>
    <col min="8676" max="8700" width="8.81640625" style="3"/>
    <col min="8701" max="8701" width="9.54296875" style="3" customWidth="1"/>
    <col min="8702" max="8702" width="50.54296875" style="3" customWidth="1"/>
    <col min="8703" max="8703" width="14.81640625" style="3" customWidth="1"/>
    <col min="8704" max="8704" width="15.54296875" style="3" customWidth="1"/>
    <col min="8705" max="8705" width="8.54296875" style="3" customWidth="1"/>
    <col min="8706" max="8706" width="21.1796875" style="3" customWidth="1"/>
    <col min="8707" max="8707" width="10.453125" style="3" customWidth="1"/>
    <col min="8708" max="8708" width="17.453125" style="3" customWidth="1"/>
    <col min="8709" max="8709" width="11.1796875" style="3" customWidth="1"/>
    <col min="8710" max="8710" width="17.453125" style="3" customWidth="1"/>
    <col min="8711" max="8711" width="9.453125" style="3" customWidth="1"/>
    <col min="8712" max="8712" width="17.453125" style="3" customWidth="1"/>
    <col min="8713" max="8713" width="10.453125" style="3" customWidth="1"/>
    <col min="8714" max="8714" width="19.453125" style="3" customWidth="1"/>
    <col min="8715" max="8715" width="17.453125" style="3" customWidth="1"/>
    <col min="8716" max="8716" width="43.81640625" style="3" customWidth="1"/>
    <col min="8717" max="8717" width="10.453125" style="3" customWidth="1"/>
    <col min="8718" max="8718" width="13.453125" style="3" customWidth="1"/>
    <col min="8719" max="8720" width="21.453125" style="3" customWidth="1"/>
    <col min="8721" max="8722" width="22" style="3" customWidth="1"/>
    <col min="8723" max="8724" width="22.453125" style="3" customWidth="1"/>
    <col min="8725" max="8726" width="22.81640625" style="3" customWidth="1"/>
    <col min="8727" max="8727" width="19.453125" style="3" customWidth="1"/>
    <col min="8728" max="8728" width="8.81640625" style="3"/>
    <col min="8729" max="8729" width="17.453125" style="3" customWidth="1"/>
    <col min="8730" max="8730" width="16" style="3" customWidth="1"/>
    <col min="8731" max="8732" width="17.453125" style="3" customWidth="1"/>
    <col min="8733" max="8733" width="16.453125" style="3" customWidth="1"/>
    <col min="8734" max="8734" width="8.81640625" style="3"/>
    <col min="8735" max="8735" width="22.453125" style="3" customWidth="1"/>
    <col min="8736" max="8736" width="22.1796875" style="3" customWidth="1"/>
    <col min="8737" max="8738" width="17.453125" style="3" customWidth="1"/>
    <col min="8739" max="8739" width="18.1796875" style="3" customWidth="1"/>
    <col min="8740" max="8917" width="8.81640625" style="3"/>
    <col min="8918" max="8918" width="1.453125" style="3" customWidth="1"/>
    <col min="8919" max="8919" width="51.453125" style="3" customWidth="1"/>
    <col min="8920" max="8920" width="12.453125" style="3" customWidth="1"/>
    <col min="8921" max="8921" width="21.453125" style="3" customWidth="1"/>
    <col min="8922" max="8922" width="12.453125" style="3" customWidth="1"/>
    <col min="8923" max="8923" width="14.453125" style="3" customWidth="1"/>
    <col min="8924" max="8924" width="15.1796875" style="3" customWidth="1"/>
    <col min="8925" max="8925" width="12.453125" style="3" customWidth="1"/>
    <col min="8926" max="8926" width="13" style="3" customWidth="1"/>
    <col min="8927" max="8927" width="14.54296875" style="3" customWidth="1"/>
    <col min="8928" max="8928" width="44.453125" style="3" customWidth="1"/>
    <col min="8929" max="8929" width="34.54296875" style="3" customWidth="1"/>
    <col min="8930" max="8930" width="37.453125" style="3" customWidth="1"/>
    <col min="8931" max="8931" width="19.81640625" style="3" customWidth="1"/>
    <col min="8932" max="8956" width="8.81640625" style="3"/>
    <col min="8957" max="8957" width="9.54296875" style="3" customWidth="1"/>
    <col min="8958" max="8958" width="50.54296875" style="3" customWidth="1"/>
    <col min="8959" max="8959" width="14.81640625" style="3" customWidth="1"/>
    <col min="8960" max="8960" width="15.54296875" style="3" customWidth="1"/>
    <col min="8961" max="8961" width="8.54296875" style="3" customWidth="1"/>
    <col min="8962" max="8962" width="21.1796875" style="3" customWidth="1"/>
    <col min="8963" max="8963" width="10.453125" style="3" customWidth="1"/>
    <col min="8964" max="8964" width="17.453125" style="3" customWidth="1"/>
    <col min="8965" max="8965" width="11.1796875" style="3" customWidth="1"/>
    <col min="8966" max="8966" width="17.453125" style="3" customWidth="1"/>
    <col min="8967" max="8967" width="9.453125" style="3" customWidth="1"/>
    <col min="8968" max="8968" width="17.453125" style="3" customWidth="1"/>
    <col min="8969" max="8969" width="10.453125" style="3" customWidth="1"/>
    <col min="8970" max="8970" width="19.453125" style="3" customWidth="1"/>
    <col min="8971" max="8971" width="17.453125" style="3" customWidth="1"/>
    <col min="8972" max="8972" width="43.81640625" style="3" customWidth="1"/>
    <col min="8973" max="8973" width="10.453125" style="3" customWidth="1"/>
    <col min="8974" max="8974" width="13.453125" style="3" customWidth="1"/>
    <col min="8975" max="8976" width="21.453125" style="3" customWidth="1"/>
    <col min="8977" max="8978" width="22" style="3" customWidth="1"/>
    <col min="8979" max="8980" width="22.453125" style="3" customWidth="1"/>
    <col min="8981" max="8982" width="22.81640625" style="3" customWidth="1"/>
    <col min="8983" max="8983" width="19.453125" style="3" customWidth="1"/>
    <col min="8984" max="8984" width="8.81640625" style="3"/>
    <col min="8985" max="8985" width="17.453125" style="3" customWidth="1"/>
    <col min="8986" max="8986" width="16" style="3" customWidth="1"/>
    <col min="8987" max="8988" width="17.453125" style="3" customWidth="1"/>
    <col min="8989" max="8989" width="16.453125" style="3" customWidth="1"/>
    <col min="8990" max="8990" width="8.81640625" style="3"/>
    <col min="8991" max="8991" width="22.453125" style="3" customWidth="1"/>
    <col min="8992" max="8992" width="22.1796875" style="3" customWidth="1"/>
    <col min="8993" max="8994" width="17.453125" style="3" customWidth="1"/>
    <col min="8995" max="8995" width="18.1796875" style="3" customWidth="1"/>
    <col min="8996" max="9173" width="8.81640625" style="3"/>
    <col min="9174" max="9174" width="1.453125" style="3" customWidth="1"/>
    <col min="9175" max="9175" width="51.453125" style="3" customWidth="1"/>
    <col min="9176" max="9176" width="12.453125" style="3" customWidth="1"/>
    <col min="9177" max="9177" width="21.453125" style="3" customWidth="1"/>
    <col min="9178" max="9178" width="12.453125" style="3" customWidth="1"/>
    <col min="9179" max="9179" width="14.453125" style="3" customWidth="1"/>
    <col min="9180" max="9180" width="15.1796875" style="3" customWidth="1"/>
    <col min="9181" max="9181" width="12.453125" style="3" customWidth="1"/>
    <col min="9182" max="9182" width="13" style="3" customWidth="1"/>
    <col min="9183" max="9183" width="14.54296875" style="3" customWidth="1"/>
    <col min="9184" max="9184" width="44.453125" style="3" customWidth="1"/>
    <col min="9185" max="9185" width="34.54296875" style="3" customWidth="1"/>
    <col min="9186" max="9186" width="37.453125" style="3" customWidth="1"/>
    <col min="9187" max="9187" width="19.81640625" style="3" customWidth="1"/>
    <col min="9188" max="9212" width="8.81640625" style="3"/>
    <col min="9213" max="9213" width="9.54296875" style="3" customWidth="1"/>
    <col min="9214" max="9214" width="50.54296875" style="3" customWidth="1"/>
    <col min="9215" max="9215" width="14.81640625" style="3" customWidth="1"/>
    <col min="9216" max="9216" width="15.54296875" style="3" customWidth="1"/>
    <col min="9217" max="9217" width="8.54296875" style="3" customWidth="1"/>
    <col min="9218" max="9218" width="21.1796875" style="3" customWidth="1"/>
    <col min="9219" max="9219" width="10.453125" style="3" customWidth="1"/>
    <col min="9220" max="9220" width="17.453125" style="3" customWidth="1"/>
    <col min="9221" max="9221" width="11.1796875" style="3" customWidth="1"/>
    <col min="9222" max="9222" width="17.453125" style="3" customWidth="1"/>
    <col min="9223" max="9223" width="9.453125" style="3" customWidth="1"/>
    <col min="9224" max="9224" width="17.453125" style="3" customWidth="1"/>
    <col min="9225" max="9225" width="10.453125" style="3" customWidth="1"/>
    <col min="9226" max="9226" width="19.453125" style="3" customWidth="1"/>
    <col min="9227" max="9227" width="17.453125" style="3" customWidth="1"/>
    <col min="9228" max="9228" width="43.81640625" style="3" customWidth="1"/>
    <col min="9229" max="9229" width="10.453125" style="3" customWidth="1"/>
    <col min="9230" max="9230" width="13.453125" style="3" customWidth="1"/>
    <col min="9231" max="9232" width="21.453125" style="3" customWidth="1"/>
    <col min="9233" max="9234" width="22" style="3" customWidth="1"/>
    <col min="9235" max="9236" width="22.453125" style="3" customWidth="1"/>
    <col min="9237" max="9238" width="22.81640625" style="3" customWidth="1"/>
    <col min="9239" max="9239" width="19.453125" style="3" customWidth="1"/>
    <col min="9240" max="9240" width="8.81640625" style="3"/>
    <col min="9241" max="9241" width="17.453125" style="3" customWidth="1"/>
    <col min="9242" max="9242" width="16" style="3" customWidth="1"/>
    <col min="9243" max="9244" width="17.453125" style="3" customWidth="1"/>
    <col min="9245" max="9245" width="16.453125" style="3" customWidth="1"/>
    <col min="9246" max="9246" width="8.81640625" style="3"/>
    <col min="9247" max="9247" width="22.453125" style="3" customWidth="1"/>
    <col min="9248" max="9248" width="22.1796875" style="3" customWidth="1"/>
    <col min="9249" max="9250" width="17.453125" style="3" customWidth="1"/>
    <col min="9251" max="9251" width="18.1796875" style="3" customWidth="1"/>
    <col min="9252" max="9429" width="8.81640625" style="3"/>
    <col min="9430" max="9430" width="1.453125" style="3" customWidth="1"/>
    <col min="9431" max="9431" width="51.453125" style="3" customWidth="1"/>
    <col min="9432" max="9432" width="12.453125" style="3" customWidth="1"/>
    <col min="9433" max="9433" width="21.453125" style="3" customWidth="1"/>
    <col min="9434" max="9434" width="12.453125" style="3" customWidth="1"/>
    <col min="9435" max="9435" width="14.453125" style="3" customWidth="1"/>
    <col min="9436" max="9436" width="15.1796875" style="3" customWidth="1"/>
    <col min="9437" max="9437" width="12.453125" style="3" customWidth="1"/>
    <col min="9438" max="9438" width="13" style="3" customWidth="1"/>
    <col min="9439" max="9439" width="14.54296875" style="3" customWidth="1"/>
    <col min="9440" max="9440" width="44.453125" style="3" customWidth="1"/>
    <col min="9441" max="9441" width="34.54296875" style="3" customWidth="1"/>
    <col min="9442" max="9442" width="37.453125" style="3" customWidth="1"/>
    <col min="9443" max="9443" width="19.81640625" style="3" customWidth="1"/>
    <col min="9444" max="9468" width="8.81640625" style="3"/>
    <col min="9469" max="9469" width="9.54296875" style="3" customWidth="1"/>
    <col min="9470" max="9470" width="50.54296875" style="3" customWidth="1"/>
    <col min="9471" max="9471" width="14.81640625" style="3" customWidth="1"/>
    <col min="9472" max="9472" width="15.54296875" style="3" customWidth="1"/>
    <col min="9473" max="9473" width="8.54296875" style="3" customWidth="1"/>
    <col min="9474" max="9474" width="21.1796875" style="3" customWidth="1"/>
    <col min="9475" max="9475" width="10.453125" style="3" customWidth="1"/>
    <col min="9476" max="9476" width="17.453125" style="3" customWidth="1"/>
    <col min="9477" max="9477" width="11.1796875" style="3" customWidth="1"/>
    <col min="9478" max="9478" width="17.453125" style="3" customWidth="1"/>
    <col min="9479" max="9479" width="9.453125" style="3" customWidth="1"/>
    <col min="9480" max="9480" width="17.453125" style="3" customWidth="1"/>
    <col min="9481" max="9481" width="10.453125" style="3" customWidth="1"/>
    <col min="9482" max="9482" width="19.453125" style="3" customWidth="1"/>
    <col min="9483" max="9483" width="17.453125" style="3" customWidth="1"/>
    <col min="9484" max="9484" width="43.81640625" style="3" customWidth="1"/>
    <col min="9485" max="9485" width="10.453125" style="3" customWidth="1"/>
    <col min="9486" max="9486" width="13.453125" style="3" customWidth="1"/>
    <col min="9487" max="9488" width="21.453125" style="3" customWidth="1"/>
    <col min="9489" max="9490" width="22" style="3" customWidth="1"/>
    <col min="9491" max="9492" width="22.453125" style="3" customWidth="1"/>
    <col min="9493" max="9494" width="22.81640625" style="3" customWidth="1"/>
    <col min="9495" max="9495" width="19.453125" style="3" customWidth="1"/>
    <col min="9496" max="9496" width="8.81640625" style="3"/>
    <col min="9497" max="9497" width="17.453125" style="3" customWidth="1"/>
    <col min="9498" max="9498" width="16" style="3" customWidth="1"/>
    <col min="9499" max="9500" width="17.453125" style="3" customWidth="1"/>
    <col min="9501" max="9501" width="16.453125" style="3" customWidth="1"/>
    <col min="9502" max="9502" width="8.81640625" style="3"/>
    <col min="9503" max="9503" width="22.453125" style="3" customWidth="1"/>
    <col min="9504" max="9504" width="22.1796875" style="3" customWidth="1"/>
    <col min="9505" max="9506" width="17.453125" style="3" customWidth="1"/>
    <col min="9507" max="9507" width="18.1796875" style="3" customWidth="1"/>
    <col min="9508" max="9685" width="8.81640625" style="3"/>
    <col min="9686" max="9686" width="1.453125" style="3" customWidth="1"/>
    <col min="9687" max="9687" width="51.453125" style="3" customWidth="1"/>
    <col min="9688" max="9688" width="12.453125" style="3" customWidth="1"/>
    <col min="9689" max="9689" width="21.453125" style="3" customWidth="1"/>
    <col min="9690" max="9690" width="12.453125" style="3" customWidth="1"/>
    <col min="9691" max="9691" width="14.453125" style="3" customWidth="1"/>
    <col min="9692" max="9692" width="15.1796875" style="3" customWidth="1"/>
    <col min="9693" max="9693" width="12.453125" style="3" customWidth="1"/>
    <col min="9694" max="9694" width="13" style="3" customWidth="1"/>
    <col min="9695" max="9695" width="14.54296875" style="3" customWidth="1"/>
    <col min="9696" max="9696" width="44.453125" style="3" customWidth="1"/>
    <col min="9697" max="9697" width="34.54296875" style="3" customWidth="1"/>
    <col min="9698" max="9698" width="37.453125" style="3" customWidth="1"/>
    <col min="9699" max="9699" width="19.81640625" style="3" customWidth="1"/>
    <col min="9700" max="9724" width="8.81640625" style="3"/>
    <col min="9725" max="9725" width="9.54296875" style="3" customWidth="1"/>
    <col min="9726" max="9726" width="50.54296875" style="3" customWidth="1"/>
    <col min="9727" max="9727" width="14.81640625" style="3" customWidth="1"/>
    <col min="9728" max="9728" width="15.54296875" style="3" customWidth="1"/>
    <col min="9729" max="9729" width="8.54296875" style="3" customWidth="1"/>
    <col min="9730" max="9730" width="21.1796875" style="3" customWidth="1"/>
    <col min="9731" max="9731" width="10.453125" style="3" customWidth="1"/>
    <col min="9732" max="9732" width="17.453125" style="3" customWidth="1"/>
    <col min="9733" max="9733" width="11.1796875" style="3" customWidth="1"/>
    <col min="9734" max="9734" width="17.453125" style="3" customWidth="1"/>
    <col min="9735" max="9735" width="9.453125" style="3" customWidth="1"/>
    <col min="9736" max="9736" width="17.453125" style="3" customWidth="1"/>
    <col min="9737" max="9737" width="10.453125" style="3" customWidth="1"/>
    <col min="9738" max="9738" width="19.453125" style="3" customWidth="1"/>
    <col min="9739" max="9739" width="17.453125" style="3" customWidth="1"/>
    <col min="9740" max="9740" width="43.81640625" style="3" customWidth="1"/>
    <col min="9741" max="9741" width="10.453125" style="3" customWidth="1"/>
    <col min="9742" max="9742" width="13.453125" style="3" customWidth="1"/>
    <col min="9743" max="9744" width="21.453125" style="3" customWidth="1"/>
    <col min="9745" max="9746" width="22" style="3" customWidth="1"/>
    <col min="9747" max="9748" width="22.453125" style="3" customWidth="1"/>
    <col min="9749" max="9750" width="22.81640625" style="3" customWidth="1"/>
    <col min="9751" max="9751" width="19.453125" style="3" customWidth="1"/>
    <col min="9752" max="9752" width="8.81640625" style="3"/>
    <col min="9753" max="9753" width="17.453125" style="3" customWidth="1"/>
    <col min="9754" max="9754" width="16" style="3" customWidth="1"/>
    <col min="9755" max="9756" width="17.453125" style="3" customWidth="1"/>
    <col min="9757" max="9757" width="16.453125" style="3" customWidth="1"/>
    <col min="9758" max="9758" width="8.81640625" style="3"/>
    <col min="9759" max="9759" width="22.453125" style="3" customWidth="1"/>
    <col min="9760" max="9760" width="22.1796875" style="3" customWidth="1"/>
    <col min="9761" max="9762" width="17.453125" style="3" customWidth="1"/>
    <col min="9763" max="9763" width="18.1796875" style="3" customWidth="1"/>
    <col min="9764" max="9941" width="8.81640625" style="3"/>
    <col min="9942" max="9942" width="1.453125" style="3" customWidth="1"/>
    <col min="9943" max="9943" width="51.453125" style="3" customWidth="1"/>
    <col min="9944" max="9944" width="12.453125" style="3" customWidth="1"/>
    <col min="9945" max="9945" width="21.453125" style="3" customWidth="1"/>
    <col min="9946" max="9946" width="12.453125" style="3" customWidth="1"/>
    <col min="9947" max="9947" width="14.453125" style="3" customWidth="1"/>
    <col min="9948" max="9948" width="15.1796875" style="3" customWidth="1"/>
    <col min="9949" max="9949" width="12.453125" style="3" customWidth="1"/>
    <col min="9950" max="9950" width="13" style="3" customWidth="1"/>
    <col min="9951" max="9951" width="14.54296875" style="3" customWidth="1"/>
    <col min="9952" max="9952" width="44.453125" style="3" customWidth="1"/>
    <col min="9953" max="9953" width="34.54296875" style="3" customWidth="1"/>
    <col min="9954" max="9954" width="37.453125" style="3" customWidth="1"/>
    <col min="9955" max="9955" width="19.81640625" style="3" customWidth="1"/>
    <col min="9956" max="9980" width="8.81640625" style="3"/>
    <col min="9981" max="9981" width="9.54296875" style="3" customWidth="1"/>
    <col min="9982" max="9982" width="50.54296875" style="3" customWidth="1"/>
    <col min="9983" max="9983" width="14.81640625" style="3" customWidth="1"/>
    <col min="9984" max="9984" width="15.54296875" style="3" customWidth="1"/>
    <col min="9985" max="9985" width="8.54296875" style="3" customWidth="1"/>
    <col min="9986" max="9986" width="21.1796875" style="3" customWidth="1"/>
    <col min="9987" max="9987" width="10.453125" style="3" customWidth="1"/>
    <col min="9988" max="9988" width="17.453125" style="3" customWidth="1"/>
    <col min="9989" max="9989" width="11.1796875" style="3" customWidth="1"/>
    <col min="9990" max="9990" width="17.453125" style="3" customWidth="1"/>
    <col min="9991" max="9991" width="9.453125" style="3" customWidth="1"/>
    <col min="9992" max="9992" width="17.453125" style="3" customWidth="1"/>
    <col min="9993" max="9993" width="10.453125" style="3" customWidth="1"/>
    <col min="9994" max="9994" width="19.453125" style="3" customWidth="1"/>
    <col min="9995" max="9995" width="17.453125" style="3" customWidth="1"/>
    <col min="9996" max="9996" width="43.81640625" style="3" customWidth="1"/>
    <col min="9997" max="9997" width="10.453125" style="3" customWidth="1"/>
    <col min="9998" max="9998" width="13.453125" style="3" customWidth="1"/>
    <col min="9999" max="10000" width="21.453125" style="3" customWidth="1"/>
    <col min="10001" max="10002" width="22" style="3" customWidth="1"/>
    <col min="10003" max="10004" width="22.453125" style="3" customWidth="1"/>
    <col min="10005" max="10006" width="22.81640625" style="3" customWidth="1"/>
    <col min="10007" max="10007" width="19.453125" style="3" customWidth="1"/>
    <col min="10008" max="10008" width="8.81640625" style="3"/>
    <col min="10009" max="10009" width="17.453125" style="3" customWidth="1"/>
    <col min="10010" max="10010" width="16" style="3" customWidth="1"/>
    <col min="10011" max="10012" width="17.453125" style="3" customWidth="1"/>
    <col min="10013" max="10013" width="16.453125" style="3" customWidth="1"/>
    <col min="10014" max="10014" width="8.81640625" style="3"/>
    <col min="10015" max="10015" width="22.453125" style="3" customWidth="1"/>
    <col min="10016" max="10016" width="22.1796875" style="3" customWidth="1"/>
    <col min="10017" max="10018" width="17.453125" style="3" customWidth="1"/>
    <col min="10019" max="10019" width="18.1796875" style="3" customWidth="1"/>
    <col min="10020" max="10197" width="8.81640625" style="3"/>
    <col min="10198" max="10198" width="1.453125" style="3" customWidth="1"/>
    <col min="10199" max="10199" width="51.453125" style="3" customWidth="1"/>
    <col min="10200" max="10200" width="12.453125" style="3" customWidth="1"/>
    <col min="10201" max="10201" width="21.453125" style="3" customWidth="1"/>
    <col min="10202" max="10202" width="12.453125" style="3" customWidth="1"/>
    <col min="10203" max="10203" width="14.453125" style="3" customWidth="1"/>
    <col min="10204" max="10204" width="15.1796875" style="3" customWidth="1"/>
    <col min="10205" max="10205" width="12.453125" style="3" customWidth="1"/>
    <col min="10206" max="10206" width="13" style="3" customWidth="1"/>
    <col min="10207" max="10207" width="14.54296875" style="3" customWidth="1"/>
    <col min="10208" max="10208" width="44.453125" style="3" customWidth="1"/>
    <col min="10209" max="10209" width="34.54296875" style="3" customWidth="1"/>
    <col min="10210" max="10210" width="37.453125" style="3" customWidth="1"/>
    <col min="10211" max="10211" width="19.81640625" style="3" customWidth="1"/>
    <col min="10212" max="10236" width="8.81640625" style="3"/>
    <col min="10237" max="10237" width="9.54296875" style="3" customWidth="1"/>
    <col min="10238" max="10238" width="50.54296875" style="3" customWidth="1"/>
    <col min="10239" max="10239" width="14.81640625" style="3" customWidth="1"/>
    <col min="10240" max="10240" width="15.54296875" style="3" customWidth="1"/>
    <col min="10241" max="10241" width="8.54296875" style="3" customWidth="1"/>
    <col min="10242" max="10242" width="21.1796875" style="3" customWidth="1"/>
    <col min="10243" max="10243" width="10.453125" style="3" customWidth="1"/>
    <col min="10244" max="10244" width="17.453125" style="3" customWidth="1"/>
    <col min="10245" max="10245" width="11.1796875" style="3" customWidth="1"/>
    <col min="10246" max="10246" width="17.453125" style="3" customWidth="1"/>
    <col min="10247" max="10247" width="9.453125" style="3" customWidth="1"/>
    <col min="10248" max="10248" width="17.453125" style="3" customWidth="1"/>
    <col min="10249" max="10249" width="10.453125" style="3" customWidth="1"/>
    <col min="10250" max="10250" width="19.453125" style="3" customWidth="1"/>
    <col min="10251" max="10251" width="17.453125" style="3" customWidth="1"/>
    <col min="10252" max="10252" width="43.81640625" style="3" customWidth="1"/>
    <col min="10253" max="10253" width="10.453125" style="3" customWidth="1"/>
    <col min="10254" max="10254" width="13.453125" style="3" customWidth="1"/>
    <col min="10255" max="10256" width="21.453125" style="3" customWidth="1"/>
    <col min="10257" max="10258" width="22" style="3" customWidth="1"/>
    <col min="10259" max="10260" width="22.453125" style="3" customWidth="1"/>
    <col min="10261" max="10262" width="22.81640625" style="3" customWidth="1"/>
    <col min="10263" max="10263" width="19.453125" style="3" customWidth="1"/>
    <col min="10264" max="10264" width="8.81640625" style="3"/>
    <col min="10265" max="10265" width="17.453125" style="3" customWidth="1"/>
    <col min="10266" max="10266" width="16" style="3" customWidth="1"/>
    <col min="10267" max="10268" width="17.453125" style="3" customWidth="1"/>
    <col min="10269" max="10269" width="16.453125" style="3" customWidth="1"/>
    <col min="10270" max="10270" width="8.81640625" style="3"/>
    <col min="10271" max="10271" width="22.453125" style="3" customWidth="1"/>
    <col min="10272" max="10272" width="22.1796875" style="3" customWidth="1"/>
    <col min="10273" max="10274" width="17.453125" style="3" customWidth="1"/>
    <col min="10275" max="10275" width="18.1796875" style="3" customWidth="1"/>
    <col min="10276" max="10453" width="8.81640625" style="3"/>
    <col min="10454" max="10454" width="1.453125" style="3" customWidth="1"/>
    <col min="10455" max="10455" width="51.453125" style="3" customWidth="1"/>
    <col min="10456" max="10456" width="12.453125" style="3" customWidth="1"/>
    <col min="10457" max="10457" width="21.453125" style="3" customWidth="1"/>
    <col min="10458" max="10458" width="12.453125" style="3" customWidth="1"/>
    <col min="10459" max="10459" width="14.453125" style="3" customWidth="1"/>
    <col min="10460" max="10460" width="15.1796875" style="3" customWidth="1"/>
    <col min="10461" max="10461" width="12.453125" style="3" customWidth="1"/>
    <col min="10462" max="10462" width="13" style="3" customWidth="1"/>
    <col min="10463" max="10463" width="14.54296875" style="3" customWidth="1"/>
    <col min="10464" max="10464" width="44.453125" style="3" customWidth="1"/>
    <col min="10465" max="10465" width="34.54296875" style="3" customWidth="1"/>
    <col min="10466" max="10466" width="37.453125" style="3" customWidth="1"/>
    <col min="10467" max="10467" width="19.81640625" style="3" customWidth="1"/>
    <col min="10468" max="10492" width="8.81640625" style="3"/>
    <col min="10493" max="10493" width="9.54296875" style="3" customWidth="1"/>
    <col min="10494" max="10494" width="50.54296875" style="3" customWidth="1"/>
    <col min="10495" max="10495" width="14.81640625" style="3" customWidth="1"/>
    <col min="10496" max="10496" width="15.54296875" style="3" customWidth="1"/>
    <col min="10497" max="10497" width="8.54296875" style="3" customWidth="1"/>
    <col min="10498" max="10498" width="21.1796875" style="3" customWidth="1"/>
    <col min="10499" max="10499" width="10.453125" style="3" customWidth="1"/>
    <col min="10500" max="10500" width="17.453125" style="3" customWidth="1"/>
    <col min="10501" max="10501" width="11.1796875" style="3" customWidth="1"/>
    <col min="10502" max="10502" width="17.453125" style="3" customWidth="1"/>
    <col min="10503" max="10503" width="9.453125" style="3" customWidth="1"/>
    <col min="10504" max="10504" width="17.453125" style="3" customWidth="1"/>
    <col min="10505" max="10505" width="10.453125" style="3" customWidth="1"/>
    <col min="10506" max="10506" width="19.453125" style="3" customWidth="1"/>
    <col min="10507" max="10507" width="17.453125" style="3" customWidth="1"/>
    <col min="10508" max="10508" width="43.81640625" style="3" customWidth="1"/>
    <col min="10509" max="10509" width="10.453125" style="3" customWidth="1"/>
    <col min="10510" max="10510" width="13.453125" style="3" customWidth="1"/>
    <col min="10511" max="10512" width="21.453125" style="3" customWidth="1"/>
    <col min="10513" max="10514" width="22" style="3" customWidth="1"/>
    <col min="10515" max="10516" width="22.453125" style="3" customWidth="1"/>
    <col min="10517" max="10518" width="22.81640625" style="3" customWidth="1"/>
    <col min="10519" max="10519" width="19.453125" style="3" customWidth="1"/>
    <col min="10520" max="10520" width="8.81640625" style="3"/>
    <col min="10521" max="10521" width="17.453125" style="3" customWidth="1"/>
    <col min="10522" max="10522" width="16" style="3" customWidth="1"/>
    <col min="10523" max="10524" width="17.453125" style="3" customWidth="1"/>
    <col min="10525" max="10525" width="16.453125" style="3" customWidth="1"/>
    <col min="10526" max="10526" width="8.81640625" style="3"/>
    <col min="10527" max="10527" width="22.453125" style="3" customWidth="1"/>
    <col min="10528" max="10528" width="22.1796875" style="3" customWidth="1"/>
    <col min="10529" max="10530" width="17.453125" style="3" customWidth="1"/>
    <col min="10531" max="10531" width="18.1796875" style="3" customWidth="1"/>
    <col min="10532" max="10709" width="8.81640625" style="3"/>
    <col min="10710" max="10710" width="1.453125" style="3" customWidth="1"/>
    <col min="10711" max="10711" width="51.453125" style="3" customWidth="1"/>
    <col min="10712" max="10712" width="12.453125" style="3" customWidth="1"/>
    <col min="10713" max="10713" width="21.453125" style="3" customWidth="1"/>
    <col min="10714" max="10714" width="12.453125" style="3" customWidth="1"/>
    <col min="10715" max="10715" width="14.453125" style="3" customWidth="1"/>
    <col min="10716" max="10716" width="15.1796875" style="3" customWidth="1"/>
    <col min="10717" max="10717" width="12.453125" style="3" customWidth="1"/>
    <col min="10718" max="10718" width="13" style="3" customWidth="1"/>
    <col min="10719" max="10719" width="14.54296875" style="3" customWidth="1"/>
    <col min="10720" max="10720" width="44.453125" style="3" customWidth="1"/>
    <col min="10721" max="10721" width="34.54296875" style="3" customWidth="1"/>
    <col min="10722" max="10722" width="37.453125" style="3" customWidth="1"/>
    <col min="10723" max="10723" width="19.81640625" style="3" customWidth="1"/>
    <col min="10724" max="10748" width="8.81640625" style="3"/>
    <col min="10749" max="10749" width="9.54296875" style="3" customWidth="1"/>
    <col min="10750" max="10750" width="50.54296875" style="3" customWidth="1"/>
    <col min="10751" max="10751" width="14.81640625" style="3" customWidth="1"/>
    <col min="10752" max="10752" width="15.54296875" style="3" customWidth="1"/>
    <col min="10753" max="10753" width="8.54296875" style="3" customWidth="1"/>
    <col min="10754" max="10754" width="21.1796875" style="3" customWidth="1"/>
    <col min="10755" max="10755" width="10.453125" style="3" customWidth="1"/>
    <col min="10756" max="10756" width="17.453125" style="3" customWidth="1"/>
    <col min="10757" max="10757" width="11.1796875" style="3" customWidth="1"/>
    <col min="10758" max="10758" width="17.453125" style="3" customWidth="1"/>
    <col min="10759" max="10759" width="9.453125" style="3" customWidth="1"/>
    <col min="10760" max="10760" width="17.453125" style="3" customWidth="1"/>
    <col min="10761" max="10761" width="10.453125" style="3" customWidth="1"/>
    <col min="10762" max="10762" width="19.453125" style="3" customWidth="1"/>
    <col min="10763" max="10763" width="17.453125" style="3" customWidth="1"/>
    <col min="10764" max="10764" width="43.81640625" style="3" customWidth="1"/>
    <col min="10765" max="10765" width="10.453125" style="3" customWidth="1"/>
    <col min="10766" max="10766" width="13.453125" style="3" customWidth="1"/>
    <col min="10767" max="10768" width="21.453125" style="3" customWidth="1"/>
    <col min="10769" max="10770" width="22" style="3" customWidth="1"/>
    <col min="10771" max="10772" width="22.453125" style="3" customWidth="1"/>
    <col min="10773" max="10774" width="22.81640625" style="3" customWidth="1"/>
    <col min="10775" max="10775" width="19.453125" style="3" customWidth="1"/>
    <col min="10776" max="10776" width="8.81640625" style="3"/>
    <col min="10777" max="10777" width="17.453125" style="3" customWidth="1"/>
    <col min="10778" max="10778" width="16" style="3" customWidth="1"/>
    <col min="10779" max="10780" width="17.453125" style="3" customWidth="1"/>
    <col min="10781" max="10781" width="16.453125" style="3" customWidth="1"/>
    <col min="10782" max="10782" width="8.81640625" style="3"/>
    <col min="10783" max="10783" width="22.453125" style="3" customWidth="1"/>
    <col min="10784" max="10784" width="22.1796875" style="3" customWidth="1"/>
    <col min="10785" max="10786" width="17.453125" style="3" customWidth="1"/>
    <col min="10787" max="10787" width="18.1796875" style="3" customWidth="1"/>
    <col min="10788" max="10965" width="8.81640625" style="3"/>
    <col min="10966" max="10966" width="1.453125" style="3" customWidth="1"/>
    <col min="10967" max="10967" width="51.453125" style="3" customWidth="1"/>
    <col min="10968" max="10968" width="12.453125" style="3" customWidth="1"/>
    <col min="10969" max="10969" width="21.453125" style="3" customWidth="1"/>
    <col min="10970" max="10970" width="12.453125" style="3" customWidth="1"/>
    <col min="10971" max="10971" width="14.453125" style="3" customWidth="1"/>
    <col min="10972" max="10972" width="15.1796875" style="3" customWidth="1"/>
    <col min="10973" max="10973" width="12.453125" style="3" customWidth="1"/>
    <col min="10974" max="10974" width="13" style="3" customWidth="1"/>
    <col min="10975" max="10975" width="14.54296875" style="3" customWidth="1"/>
    <col min="10976" max="10976" width="44.453125" style="3" customWidth="1"/>
    <col min="10977" max="10977" width="34.54296875" style="3" customWidth="1"/>
    <col min="10978" max="10978" width="37.453125" style="3" customWidth="1"/>
    <col min="10979" max="10979" width="19.81640625" style="3" customWidth="1"/>
    <col min="10980" max="11004" width="8.81640625" style="3"/>
    <col min="11005" max="11005" width="9.54296875" style="3" customWidth="1"/>
    <col min="11006" max="11006" width="50.54296875" style="3" customWidth="1"/>
    <col min="11007" max="11007" width="14.81640625" style="3" customWidth="1"/>
    <col min="11008" max="11008" width="15.54296875" style="3" customWidth="1"/>
    <col min="11009" max="11009" width="8.54296875" style="3" customWidth="1"/>
    <col min="11010" max="11010" width="21.1796875" style="3" customWidth="1"/>
    <col min="11011" max="11011" width="10.453125" style="3" customWidth="1"/>
    <col min="11012" max="11012" width="17.453125" style="3" customWidth="1"/>
    <col min="11013" max="11013" width="11.1796875" style="3" customWidth="1"/>
    <col min="11014" max="11014" width="17.453125" style="3" customWidth="1"/>
    <col min="11015" max="11015" width="9.453125" style="3" customWidth="1"/>
    <col min="11016" max="11016" width="17.453125" style="3" customWidth="1"/>
    <col min="11017" max="11017" width="10.453125" style="3" customWidth="1"/>
    <col min="11018" max="11018" width="19.453125" style="3" customWidth="1"/>
    <col min="11019" max="11019" width="17.453125" style="3" customWidth="1"/>
    <col min="11020" max="11020" width="43.81640625" style="3" customWidth="1"/>
    <col min="11021" max="11021" width="10.453125" style="3" customWidth="1"/>
    <col min="11022" max="11022" width="13.453125" style="3" customWidth="1"/>
    <col min="11023" max="11024" width="21.453125" style="3" customWidth="1"/>
    <col min="11025" max="11026" width="22" style="3" customWidth="1"/>
    <col min="11027" max="11028" width="22.453125" style="3" customWidth="1"/>
    <col min="11029" max="11030" width="22.81640625" style="3" customWidth="1"/>
    <col min="11031" max="11031" width="19.453125" style="3" customWidth="1"/>
    <col min="11032" max="11032" width="8.81640625" style="3"/>
    <col min="11033" max="11033" width="17.453125" style="3" customWidth="1"/>
    <col min="11034" max="11034" width="16" style="3" customWidth="1"/>
    <col min="11035" max="11036" width="17.453125" style="3" customWidth="1"/>
    <col min="11037" max="11037" width="16.453125" style="3" customWidth="1"/>
    <col min="11038" max="11038" width="8.81640625" style="3"/>
    <col min="11039" max="11039" width="22.453125" style="3" customWidth="1"/>
    <col min="11040" max="11040" width="22.1796875" style="3" customWidth="1"/>
    <col min="11041" max="11042" width="17.453125" style="3" customWidth="1"/>
    <col min="11043" max="11043" width="18.1796875" style="3" customWidth="1"/>
    <col min="11044" max="11221" width="8.81640625" style="3"/>
    <col min="11222" max="11222" width="1.453125" style="3" customWidth="1"/>
    <col min="11223" max="11223" width="51.453125" style="3" customWidth="1"/>
    <col min="11224" max="11224" width="12.453125" style="3" customWidth="1"/>
    <col min="11225" max="11225" width="21.453125" style="3" customWidth="1"/>
    <col min="11226" max="11226" width="12.453125" style="3" customWidth="1"/>
    <col min="11227" max="11227" width="14.453125" style="3" customWidth="1"/>
    <col min="11228" max="11228" width="15.1796875" style="3" customWidth="1"/>
    <col min="11229" max="11229" width="12.453125" style="3" customWidth="1"/>
    <col min="11230" max="11230" width="13" style="3" customWidth="1"/>
    <col min="11231" max="11231" width="14.54296875" style="3" customWidth="1"/>
    <col min="11232" max="11232" width="44.453125" style="3" customWidth="1"/>
    <col min="11233" max="11233" width="34.54296875" style="3" customWidth="1"/>
    <col min="11234" max="11234" width="37.453125" style="3" customWidth="1"/>
    <col min="11235" max="11235" width="19.81640625" style="3" customWidth="1"/>
    <col min="11236" max="11260" width="8.81640625" style="3"/>
    <col min="11261" max="11261" width="9.54296875" style="3" customWidth="1"/>
    <col min="11262" max="11262" width="50.54296875" style="3" customWidth="1"/>
    <col min="11263" max="11263" width="14.81640625" style="3" customWidth="1"/>
    <col min="11264" max="11264" width="15.54296875" style="3" customWidth="1"/>
    <col min="11265" max="11265" width="8.54296875" style="3" customWidth="1"/>
    <col min="11266" max="11266" width="21.1796875" style="3" customWidth="1"/>
    <col min="11267" max="11267" width="10.453125" style="3" customWidth="1"/>
    <col min="11268" max="11268" width="17.453125" style="3" customWidth="1"/>
    <col min="11269" max="11269" width="11.1796875" style="3" customWidth="1"/>
    <col min="11270" max="11270" width="17.453125" style="3" customWidth="1"/>
    <col min="11271" max="11271" width="9.453125" style="3" customWidth="1"/>
    <col min="11272" max="11272" width="17.453125" style="3" customWidth="1"/>
    <col min="11273" max="11273" width="10.453125" style="3" customWidth="1"/>
    <col min="11274" max="11274" width="19.453125" style="3" customWidth="1"/>
    <col min="11275" max="11275" width="17.453125" style="3" customWidth="1"/>
    <col min="11276" max="11276" width="43.81640625" style="3" customWidth="1"/>
    <col min="11277" max="11277" width="10.453125" style="3" customWidth="1"/>
    <col min="11278" max="11278" width="13.453125" style="3" customWidth="1"/>
    <col min="11279" max="11280" width="21.453125" style="3" customWidth="1"/>
    <col min="11281" max="11282" width="22" style="3" customWidth="1"/>
    <col min="11283" max="11284" width="22.453125" style="3" customWidth="1"/>
    <col min="11285" max="11286" width="22.81640625" style="3" customWidth="1"/>
    <col min="11287" max="11287" width="19.453125" style="3" customWidth="1"/>
    <col min="11288" max="11288" width="8.81640625" style="3"/>
    <col min="11289" max="11289" width="17.453125" style="3" customWidth="1"/>
    <col min="11290" max="11290" width="16" style="3" customWidth="1"/>
    <col min="11291" max="11292" width="17.453125" style="3" customWidth="1"/>
    <col min="11293" max="11293" width="16.453125" style="3" customWidth="1"/>
    <col min="11294" max="11294" width="8.81640625" style="3"/>
    <col min="11295" max="11295" width="22.453125" style="3" customWidth="1"/>
    <col min="11296" max="11296" width="22.1796875" style="3" customWidth="1"/>
    <col min="11297" max="11298" width="17.453125" style="3" customWidth="1"/>
    <col min="11299" max="11299" width="18.1796875" style="3" customWidth="1"/>
    <col min="11300" max="11477" width="8.81640625" style="3"/>
    <col min="11478" max="11478" width="1.453125" style="3" customWidth="1"/>
    <col min="11479" max="11479" width="51.453125" style="3" customWidth="1"/>
    <col min="11480" max="11480" width="12.453125" style="3" customWidth="1"/>
    <col min="11481" max="11481" width="21.453125" style="3" customWidth="1"/>
    <col min="11482" max="11482" width="12.453125" style="3" customWidth="1"/>
    <col min="11483" max="11483" width="14.453125" style="3" customWidth="1"/>
    <col min="11484" max="11484" width="15.1796875" style="3" customWidth="1"/>
    <col min="11485" max="11485" width="12.453125" style="3" customWidth="1"/>
    <col min="11486" max="11486" width="13" style="3" customWidth="1"/>
    <col min="11487" max="11487" width="14.54296875" style="3" customWidth="1"/>
    <col min="11488" max="11488" width="44.453125" style="3" customWidth="1"/>
    <col min="11489" max="11489" width="34.54296875" style="3" customWidth="1"/>
    <col min="11490" max="11490" width="37.453125" style="3" customWidth="1"/>
    <col min="11491" max="11491" width="19.81640625" style="3" customWidth="1"/>
    <col min="11492" max="11516" width="8.81640625" style="3"/>
    <col min="11517" max="11517" width="9.54296875" style="3" customWidth="1"/>
    <col min="11518" max="11518" width="50.54296875" style="3" customWidth="1"/>
    <col min="11519" max="11519" width="14.81640625" style="3" customWidth="1"/>
    <col min="11520" max="11520" width="15.54296875" style="3" customWidth="1"/>
    <col min="11521" max="11521" width="8.54296875" style="3" customWidth="1"/>
    <col min="11522" max="11522" width="21.1796875" style="3" customWidth="1"/>
    <col min="11523" max="11523" width="10.453125" style="3" customWidth="1"/>
    <col min="11524" max="11524" width="17.453125" style="3" customWidth="1"/>
    <col min="11525" max="11525" width="11.1796875" style="3" customWidth="1"/>
    <col min="11526" max="11526" width="17.453125" style="3" customWidth="1"/>
    <col min="11527" max="11527" width="9.453125" style="3" customWidth="1"/>
    <col min="11528" max="11528" width="17.453125" style="3" customWidth="1"/>
    <col min="11529" max="11529" width="10.453125" style="3" customWidth="1"/>
    <col min="11530" max="11530" width="19.453125" style="3" customWidth="1"/>
    <col min="11531" max="11531" width="17.453125" style="3" customWidth="1"/>
    <col min="11532" max="11532" width="43.81640625" style="3" customWidth="1"/>
    <col min="11533" max="11533" width="10.453125" style="3" customWidth="1"/>
    <col min="11534" max="11534" width="13.453125" style="3" customWidth="1"/>
    <col min="11535" max="11536" width="21.453125" style="3" customWidth="1"/>
    <col min="11537" max="11538" width="22" style="3" customWidth="1"/>
    <col min="11539" max="11540" width="22.453125" style="3" customWidth="1"/>
    <col min="11541" max="11542" width="22.81640625" style="3" customWidth="1"/>
    <col min="11543" max="11543" width="19.453125" style="3" customWidth="1"/>
    <col min="11544" max="11544" width="8.81640625" style="3"/>
    <col min="11545" max="11545" width="17.453125" style="3" customWidth="1"/>
    <col min="11546" max="11546" width="16" style="3" customWidth="1"/>
    <col min="11547" max="11548" width="17.453125" style="3" customWidth="1"/>
    <col min="11549" max="11549" width="16.453125" style="3" customWidth="1"/>
    <col min="11550" max="11550" width="8.81640625" style="3"/>
    <col min="11551" max="11551" width="22.453125" style="3" customWidth="1"/>
    <col min="11552" max="11552" width="22.1796875" style="3" customWidth="1"/>
    <col min="11553" max="11554" width="17.453125" style="3" customWidth="1"/>
    <col min="11555" max="11555" width="18.1796875" style="3" customWidth="1"/>
    <col min="11556" max="11733" width="8.81640625" style="3"/>
    <col min="11734" max="11734" width="1.453125" style="3" customWidth="1"/>
    <col min="11735" max="11735" width="51.453125" style="3" customWidth="1"/>
    <col min="11736" max="11736" width="12.453125" style="3" customWidth="1"/>
    <col min="11737" max="11737" width="21.453125" style="3" customWidth="1"/>
    <col min="11738" max="11738" width="12.453125" style="3" customWidth="1"/>
    <col min="11739" max="11739" width="14.453125" style="3" customWidth="1"/>
    <col min="11740" max="11740" width="15.1796875" style="3" customWidth="1"/>
    <col min="11741" max="11741" width="12.453125" style="3" customWidth="1"/>
    <col min="11742" max="11742" width="13" style="3" customWidth="1"/>
    <col min="11743" max="11743" width="14.54296875" style="3" customWidth="1"/>
    <col min="11744" max="11744" width="44.453125" style="3" customWidth="1"/>
    <col min="11745" max="11745" width="34.54296875" style="3" customWidth="1"/>
    <col min="11746" max="11746" width="37.453125" style="3" customWidth="1"/>
    <col min="11747" max="11747" width="19.81640625" style="3" customWidth="1"/>
    <col min="11748" max="11772" width="8.81640625" style="3"/>
    <col min="11773" max="11773" width="9.54296875" style="3" customWidth="1"/>
    <col min="11774" max="11774" width="50.54296875" style="3" customWidth="1"/>
    <col min="11775" max="11775" width="14.81640625" style="3" customWidth="1"/>
    <col min="11776" max="11776" width="15.54296875" style="3" customWidth="1"/>
    <col min="11777" max="11777" width="8.54296875" style="3" customWidth="1"/>
    <col min="11778" max="11778" width="21.1796875" style="3" customWidth="1"/>
    <col min="11779" max="11779" width="10.453125" style="3" customWidth="1"/>
    <col min="11780" max="11780" width="17.453125" style="3" customWidth="1"/>
    <col min="11781" max="11781" width="11.1796875" style="3" customWidth="1"/>
    <col min="11782" max="11782" width="17.453125" style="3" customWidth="1"/>
    <col min="11783" max="11783" width="9.453125" style="3" customWidth="1"/>
    <col min="11784" max="11784" width="17.453125" style="3" customWidth="1"/>
    <col min="11785" max="11785" width="10.453125" style="3" customWidth="1"/>
    <col min="11786" max="11786" width="19.453125" style="3" customWidth="1"/>
    <col min="11787" max="11787" width="17.453125" style="3" customWidth="1"/>
    <col min="11788" max="11788" width="43.81640625" style="3" customWidth="1"/>
    <col min="11789" max="11789" width="10.453125" style="3" customWidth="1"/>
    <col min="11790" max="11790" width="13.453125" style="3" customWidth="1"/>
    <col min="11791" max="11792" width="21.453125" style="3" customWidth="1"/>
    <col min="11793" max="11794" width="22" style="3" customWidth="1"/>
    <col min="11795" max="11796" width="22.453125" style="3" customWidth="1"/>
    <col min="11797" max="11798" width="22.81640625" style="3" customWidth="1"/>
    <col min="11799" max="11799" width="19.453125" style="3" customWidth="1"/>
    <col min="11800" max="11800" width="8.81640625" style="3"/>
    <col min="11801" max="11801" width="17.453125" style="3" customWidth="1"/>
    <col min="11802" max="11802" width="16" style="3" customWidth="1"/>
    <col min="11803" max="11804" width="17.453125" style="3" customWidth="1"/>
    <col min="11805" max="11805" width="16.453125" style="3" customWidth="1"/>
    <col min="11806" max="11806" width="8.81640625" style="3"/>
    <col min="11807" max="11807" width="22.453125" style="3" customWidth="1"/>
    <col min="11808" max="11808" width="22.1796875" style="3" customWidth="1"/>
    <col min="11809" max="11810" width="17.453125" style="3" customWidth="1"/>
    <col min="11811" max="11811" width="18.1796875" style="3" customWidth="1"/>
    <col min="11812" max="11989" width="8.81640625" style="3"/>
    <col min="11990" max="11990" width="1.453125" style="3" customWidth="1"/>
    <col min="11991" max="11991" width="51.453125" style="3" customWidth="1"/>
    <col min="11992" max="11992" width="12.453125" style="3" customWidth="1"/>
    <col min="11993" max="11993" width="21.453125" style="3" customWidth="1"/>
    <col min="11994" max="11994" width="12.453125" style="3" customWidth="1"/>
    <col min="11995" max="11995" width="14.453125" style="3" customWidth="1"/>
    <col min="11996" max="11996" width="15.1796875" style="3" customWidth="1"/>
    <col min="11997" max="11997" width="12.453125" style="3" customWidth="1"/>
    <col min="11998" max="11998" width="13" style="3" customWidth="1"/>
    <col min="11999" max="11999" width="14.54296875" style="3" customWidth="1"/>
    <col min="12000" max="12000" width="44.453125" style="3" customWidth="1"/>
    <col min="12001" max="12001" width="34.54296875" style="3" customWidth="1"/>
    <col min="12002" max="12002" width="37.453125" style="3" customWidth="1"/>
    <col min="12003" max="12003" width="19.81640625" style="3" customWidth="1"/>
    <col min="12004" max="12028" width="8.81640625" style="3"/>
    <col min="12029" max="12029" width="9.54296875" style="3" customWidth="1"/>
    <col min="12030" max="12030" width="50.54296875" style="3" customWidth="1"/>
    <col min="12031" max="12031" width="14.81640625" style="3" customWidth="1"/>
    <col min="12032" max="12032" width="15.54296875" style="3" customWidth="1"/>
    <col min="12033" max="12033" width="8.54296875" style="3" customWidth="1"/>
    <col min="12034" max="12034" width="21.1796875" style="3" customWidth="1"/>
    <col min="12035" max="12035" width="10.453125" style="3" customWidth="1"/>
    <col min="12036" max="12036" width="17.453125" style="3" customWidth="1"/>
    <col min="12037" max="12037" width="11.1796875" style="3" customWidth="1"/>
    <col min="12038" max="12038" width="17.453125" style="3" customWidth="1"/>
    <col min="12039" max="12039" width="9.453125" style="3" customWidth="1"/>
    <col min="12040" max="12040" width="17.453125" style="3" customWidth="1"/>
    <col min="12041" max="12041" width="10.453125" style="3" customWidth="1"/>
    <col min="12042" max="12042" width="19.453125" style="3" customWidth="1"/>
    <col min="12043" max="12043" width="17.453125" style="3" customWidth="1"/>
    <col min="12044" max="12044" width="43.81640625" style="3" customWidth="1"/>
    <col min="12045" max="12045" width="10.453125" style="3" customWidth="1"/>
    <col min="12046" max="12046" width="13.453125" style="3" customWidth="1"/>
    <col min="12047" max="12048" width="21.453125" style="3" customWidth="1"/>
    <col min="12049" max="12050" width="22" style="3" customWidth="1"/>
    <col min="12051" max="12052" width="22.453125" style="3" customWidth="1"/>
    <col min="12053" max="12054" width="22.81640625" style="3" customWidth="1"/>
    <col min="12055" max="12055" width="19.453125" style="3" customWidth="1"/>
    <col min="12056" max="12056" width="8.81640625" style="3"/>
    <col min="12057" max="12057" width="17.453125" style="3" customWidth="1"/>
    <col min="12058" max="12058" width="16" style="3" customWidth="1"/>
    <col min="12059" max="12060" width="17.453125" style="3" customWidth="1"/>
    <col min="12061" max="12061" width="16.453125" style="3" customWidth="1"/>
    <col min="12062" max="12062" width="8.81640625" style="3"/>
    <col min="12063" max="12063" width="22.453125" style="3" customWidth="1"/>
    <col min="12064" max="12064" width="22.1796875" style="3" customWidth="1"/>
    <col min="12065" max="12066" width="17.453125" style="3" customWidth="1"/>
    <col min="12067" max="12067" width="18.1796875" style="3" customWidth="1"/>
    <col min="12068" max="12245" width="8.81640625" style="3"/>
    <col min="12246" max="12246" width="1.453125" style="3" customWidth="1"/>
    <col min="12247" max="12247" width="51.453125" style="3" customWidth="1"/>
    <col min="12248" max="12248" width="12.453125" style="3" customWidth="1"/>
    <col min="12249" max="12249" width="21.453125" style="3" customWidth="1"/>
    <col min="12250" max="12250" width="12.453125" style="3" customWidth="1"/>
    <col min="12251" max="12251" width="14.453125" style="3" customWidth="1"/>
    <col min="12252" max="12252" width="15.1796875" style="3" customWidth="1"/>
    <col min="12253" max="12253" width="12.453125" style="3" customWidth="1"/>
    <col min="12254" max="12254" width="13" style="3" customWidth="1"/>
    <col min="12255" max="12255" width="14.54296875" style="3" customWidth="1"/>
    <col min="12256" max="12256" width="44.453125" style="3" customWidth="1"/>
    <col min="12257" max="12257" width="34.54296875" style="3" customWidth="1"/>
    <col min="12258" max="12258" width="37.453125" style="3" customWidth="1"/>
    <col min="12259" max="12259" width="19.81640625" style="3" customWidth="1"/>
    <col min="12260" max="12284" width="8.81640625" style="3"/>
    <col min="12285" max="12285" width="9.54296875" style="3" customWidth="1"/>
    <col min="12286" max="12286" width="50.54296875" style="3" customWidth="1"/>
    <col min="12287" max="12287" width="14.81640625" style="3" customWidth="1"/>
    <col min="12288" max="12288" width="15.54296875" style="3" customWidth="1"/>
    <col min="12289" max="12289" width="8.54296875" style="3" customWidth="1"/>
    <col min="12290" max="12290" width="21.1796875" style="3" customWidth="1"/>
    <col min="12291" max="12291" width="10.453125" style="3" customWidth="1"/>
    <col min="12292" max="12292" width="17.453125" style="3" customWidth="1"/>
    <col min="12293" max="12293" width="11.1796875" style="3" customWidth="1"/>
    <col min="12294" max="12294" width="17.453125" style="3" customWidth="1"/>
    <col min="12295" max="12295" width="9.453125" style="3" customWidth="1"/>
    <col min="12296" max="12296" width="17.453125" style="3" customWidth="1"/>
    <col min="12297" max="12297" width="10.453125" style="3" customWidth="1"/>
    <col min="12298" max="12298" width="19.453125" style="3" customWidth="1"/>
    <col min="12299" max="12299" width="17.453125" style="3" customWidth="1"/>
    <col min="12300" max="12300" width="43.81640625" style="3" customWidth="1"/>
    <col min="12301" max="12301" width="10.453125" style="3" customWidth="1"/>
    <col min="12302" max="12302" width="13.453125" style="3" customWidth="1"/>
    <col min="12303" max="12304" width="21.453125" style="3" customWidth="1"/>
    <col min="12305" max="12306" width="22" style="3" customWidth="1"/>
    <col min="12307" max="12308" width="22.453125" style="3" customWidth="1"/>
    <col min="12309" max="12310" width="22.81640625" style="3" customWidth="1"/>
    <col min="12311" max="12311" width="19.453125" style="3" customWidth="1"/>
    <col min="12312" max="12312" width="8.81640625" style="3"/>
    <col min="12313" max="12313" width="17.453125" style="3" customWidth="1"/>
    <col min="12314" max="12314" width="16" style="3" customWidth="1"/>
    <col min="12315" max="12316" width="17.453125" style="3" customWidth="1"/>
    <col min="12317" max="12317" width="16.453125" style="3" customWidth="1"/>
    <col min="12318" max="12318" width="8.81640625" style="3"/>
    <col min="12319" max="12319" width="22.453125" style="3" customWidth="1"/>
    <col min="12320" max="12320" width="22.1796875" style="3" customWidth="1"/>
    <col min="12321" max="12322" width="17.453125" style="3" customWidth="1"/>
    <col min="12323" max="12323" width="18.1796875" style="3" customWidth="1"/>
    <col min="12324" max="12501" width="8.81640625" style="3"/>
    <col min="12502" max="12502" width="1.453125" style="3" customWidth="1"/>
    <col min="12503" max="12503" width="51.453125" style="3" customWidth="1"/>
    <col min="12504" max="12504" width="12.453125" style="3" customWidth="1"/>
    <col min="12505" max="12505" width="21.453125" style="3" customWidth="1"/>
    <col min="12506" max="12506" width="12.453125" style="3" customWidth="1"/>
    <col min="12507" max="12507" width="14.453125" style="3" customWidth="1"/>
    <col min="12508" max="12508" width="15.1796875" style="3" customWidth="1"/>
    <col min="12509" max="12509" width="12.453125" style="3" customWidth="1"/>
    <col min="12510" max="12510" width="13" style="3" customWidth="1"/>
    <col min="12511" max="12511" width="14.54296875" style="3" customWidth="1"/>
    <col min="12512" max="12512" width="44.453125" style="3" customWidth="1"/>
    <col min="12513" max="12513" width="34.54296875" style="3" customWidth="1"/>
    <col min="12514" max="12514" width="37.453125" style="3" customWidth="1"/>
    <col min="12515" max="12515" width="19.81640625" style="3" customWidth="1"/>
    <col min="12516" max="12540" width="8.81640625" style="3"/>
    <col min="12541" max="12541" width="9.54296875" style="3" customWidth="1"/>
    <col min="12542" max="12542" width="50.54296875" style="3" customWidth="1"/>
    <col min="12543" max="12543" width="14.81640625" style="3" customWidth="1"/>
    <col min="12544" max="12544" width="15.54296875" style="3" customWidth="1"/>
    <col min="12545" max="12545" width="8.54296875" style="3" customWidth="1"/>
    <col min="12546" max="12546" width="21.1796875" style="3" customWidth="1"/>
    <col min="12547" max="12547" width="10.453125" style="3" customWidth="1"/>
    <col min="12548" max="12548" width="17.453125" style="3" customWidth="1"/>
    <col min="12549" max="12549" width="11.1796875" style="3" customWidth="1"/>
    <col min="12550" max="12550" width="17.453125" style="3" customWidth="1"/>
    <col min="12551" max="12551" width="9.453125" style="3" customWidth="1"/>
    <col min="12552" max="12552" width="17.453125" style="3" customWidth="1"/>
    <col min="12553" max="12553" width="10.453125" style="3" customWidth="1"/>
    <col min="12554" max="12554" width="19.453125" style="3" customWidth="1"/>
    <col min="12555" max="12555" width="17.453125" style="3" customWidth="1"/>
    <col min="12556" max="12556" width="43.81640625" style="3" customWidth="1"/>
    <col min="12557" max="12557" width="10.453125" style="3" customWidth="1"/>
    <col min="12558" max="12558" width="13.453125" style="3" customWidth="1"/>
    <col min="12559" max="12560" width="21.453125" style="3" customWidth="1"/>
    <col min="12561" max="12562" width="22" style="3" customWidth="1"/>
    <col min="12563" max="12564" width="22.453125" style="3" customWidth="1"/>
    <col min="12565" max="12566" width="22.81640625" style="3" customWidth="1"/>
    <col min="12567" max="12567" width="19.453125" style="3" customWidth="1"/>
    <col min="12568" max="12568" width="8.81640625" style="3"/>
    <col min="12569" max="12569" width="17.453125" style="3" customWidth="1"/>
    <col min="12570" max="12570" width="16" style="3" customWidth="1"/>
    <col min="12571" max="12572" width="17.453125" style="3" customWidth="1"/>
    <col min="12573" max="12573" width="16.453125" style="3" customWidth="1"/>
    <col min="12574" max="12574" width="8.81640625" style="3"/>
    <col min="12575" max="12575" width="22.453125" style="3" customWidth="1"/>
    <col min="12576" max="12576" width="22.1796875" style="3" customWidth="1"/>
    <col min="12577" max="12578" width="17.453125" style="3" customWidth="1"/>
    <col min="12579" max="12579" width="18.1796875" style="3" customWidth="1"/>
    <col min="12580" max="12757" width="8.81640625" style="3"/>
    <col min="12758" max="12758" width="1.453125" style="3" customWidth="1"/>
    <col min="12759" max="12759" width="51.453125" style="3" customWidth="1"/>
    <col min="12760" max="12760" width="12.453125" style="3" customWidth="1"/>
    <col min="12761" max="12761" width="21.453125" style="3" customWidth="1"/>
    <col min="12762" max="12762" width="12.453125" style="3" customWidth="1"/>
    <col min="12763" max="12763" width="14.453125" style="3" customWidth="1"/>
    <col min="12764" max="12764" width="15.1796875" style="3" customWidth="1"/>
    <col min="12765" max="12765" width="12.453125" style="3" customWidth="1"/>
    <col min="12766" max="12766" width="13" style="3" customWidth="1"/>
    <col min="12767" max="12767" width="14.54296875" style="3" customWidth="1"/>
    <col min="12768" max="12768" width="44.453125" style="3" customWidth="1"/>
    <col min="12769" max="12769" width="34.54296875" style="3" customWidth="1"/>
    <col min="12770" max="12770" width="37.453125" style="3" customWidth="1"/>
    <col min="12771" max="12771" width="19.81640625" style="3" customWidth="1"/>
    <col min="12772" max="12796" width="8.81640625" style="3"/>
    <col min="12797" max="12797" width="9.54296875" style="3" customWidth="1"/>
    <col min="12798" max="12798" width="50.54296875" style="3" customWidth="1"/>
    <col min="12799" max="12799" width="14.81640625" style="3" customWidth="1"/>
    <col min="12800" max="12800" width="15.54296875" style="3" customWidth="1"/>
    <col min="12801" max="12801" width="8.54296875" style="3" customWidth="1"/>
    <col min="12802" max="12802" width="21.1796875" style="3" customWidth="1"/>
    <col min="12803" max="12803" width="10.453125" style="3" customWidth="1"/>
    <col min="12804" max="12804" width="17.453125" style="3" customWidth="1"/>
    <col min="12805" max="12805" width="11.1796875" style="3" customWidth="1"/>
    <col min="12806" max="12806" width="17.453125" style="3" customWidth="1"/>
    <col min="12807" max="12807" width="9.453125" style="3" customWidth="1"/>
    <col min="12808" max="12808" width="17.453125" style="3" customWidth="1"/>
    <col min="12809" max="12809" width="10.453125" style="3" customWidth="1"/>
    <col min="12810" max="12810" width="19.453125" style="3" customWidth="1"/>
    <col min="12811" max="12811" width="17.453125" style="3" customWidth="1"/>
    <col min="12812" max="12812" width="43.81640625" style="3" customWidth="1"/>
    <col min="12813" max="12813" width="10.453125" style="3" customWidth="1"/>
    <col min="12814" max="12814" width="13.453125" style="3" customWidth="1"/>
    <col min="12815" max="12816" width="21.453125" style="3" customWidth="1"/>
    <col min="12817" max="12818" width="22" style="3" customWidth="1"/>
    <col min="12819" max="12820" width="22.453125" style="3" customWidth="1"/>
    <col min="12821" max="12822" width="22.81640625" style="3" customWidth="1"/>
    <col min="12823" max="12823" width="19.453125" style="3" customWidth="1"/>
    <col min="12824" max="12824" width="8.81640625" style="3"/>
    <col min="12825" max="12825" width="17.453125" style="3" customWidth="1"/>
    <col min="12826" max="12826" width="16" style="3" customWidth="1"/>
    <col min="12827" max="12828" width="17.453125" style="3" customWidth="1"/>
    <col min="12829" max="12829" width="16.453125" style="3" customWidth="1"/>
    <col min="12830" max="12830" width="8.81640625" style="3"/>
    <col min="12831" max="12831" width="22.453125" style="3" customWidth="1"/>
    <col min="12832" max="12832" width="22.1796875" style="3" customWidth="1"/>
    <col min="12833" max="12834" width="17.453125" style="3" customWidth="1"/>
    <col min="12835" max="12835" width="18.1796875" style="3" customWidth="1"/>
    <col min="12836" max="13013" width="8.81640625" style="3"/>
    <col min="13014" max="13014" width="1.453125" style="3" customWidth="1"/>
    <col min="13015" max="13015" width="51.453125" style="3" customWidth="1"/>
    <col min="13016" max="13016" width="12.453125" style="3" customWidth="1"/>
    <col min="13017" max="13017" width="21.453125" style="3" customWidth="1"/>
    <col min="13018" max="13018" width="12.453125" style="3" customWidth="1"/>
    <col min="13019" max="13019" width="14.453125" style="3" customWidth="1"/>
    <col min="13020" max="13020" width="15.1796875" style="3" customWidth="1"/>
    <col min="13021" max="13021" width="12.453125" style="3" customWidth="1"/>
    <col min="13022" max="13022" width="13" style="3" customWidth="1"/>
    <col min="13023" max="13023" width="14.54296875" style="3" customWidth="1"/>
    <col min="13024" max="13024" width="44.453125" style="3" customWidth="1"/>
    <col min="13025" max="13025" width="34.54296875" style="3" customWidth="1"/>
    <col min="13026" max="13026" width="37.453125" style="3" customWidth="1"/>
    <col min="13027" max="13027" width="19.81640625" style="3" customWidth="1"/>
    <col min="13028" max="13052" width="8.81640625" style="3"/>
    <col min="13053" max="13053" width="9.54296875" style="3" customWidth="1"/>
    <col min="13054" max="13054" width="50.54296875" style="3" customWidth="1"/>
    <col min="13055" max="13055" width="14.81640625" style="3" customWidth="1"/>
    <col min="13056" max="13056" width="15.54296875" style="3" customWidth="1"/>
    <col min="13057" max="13057" width="8.54296875" style="3" customWidth="1"/>
    <col min="13058" max="13058" width="21.1796875" style="3" customWidth="1"/>
    <col min="13059" max="13059" width="10.453125" style="3" customWidth="1"/>
    <col min="13060" max="13060" width="17.453125" style="3" customWidth="1"/>
    <col min="13061" max="13061" width="11.1796875" style="3" customWidth="1"/>
    <col min="13062" max="13062" width="17.453125" style="3" customWidth="1"/>
    <col min="13063" max="13063" width="9.453125" style="3" customWidth="1"/>
    <col min="13064" max="13064" width="17.453125" style="3" customWidth="1"/>
    <col min="13065" max="13065" width="10.453125" style="3" customWidth="1"/>
    <col min="13066" max="13066" width="19.453125" style="3" customWidth="1"/>
    <col min="13067" max="13067" width="17.453125" style="3" customWidth="1"/>
    <col min="13068" max="13068" width="43.81640625" style="3" customWidth="1"/>
    <col min="13069" max="13069" width="10.453125" style="3" customWidth="1"/>
    <col min="13070" max="13070" width="13.453125" style="3" customWidth="1"/>
    <col min="13071" max="13072" width="21.453125" style="3" customWidth="1"/>
    <col min="13073" max="13074" width="22" style="3" customWidth="1"/>
    <col min="13075" max="13076" width="22.453125" style="3" customWidth="1"/>
    <col min="13077" max="13078" width="22.81640625" style="3" customWidth="1"/>
    <col min="13079" max="13079" width="19.453125" style="3" customWidth="1"/>
    <col min="13080" max="13080" width="8.81640625" style="3"/>
    <col min="13081" max="13081" width="17.453125" style="3" customWidth="1"/>
    <col min="13082" max="13082" width="16" style="3" customWidth="1"/>
    <col min="13083" max="13084" width="17.453125" style="3" customWidth="1"/>
    <col min="13085" max="13085" width="16.453125" style="3" customWidth="1"/>
    <col min="13086" max="13086" width="8.81640625" style="3"/>
    <col min="13087" max="13087" width="22.453125" style="3" customWidth="1"/>
    <col min="13088" max="13088" width="22.1796875" style="3" customWidth="1"/>
    <col min="13089" max="13090" width="17.453125" style="3" customWidth="1"/>
    <col min="13091" max="13091" width="18.1796875" style="3" customWidth="1"/>
    <col min="13092" max="13269" width="8.81640625" style="3"/>
    <col min="13270" max="13270" width="1.453125" style="3" customWidth="1"/>
    <col min="13271" max="13271" width="51.453125" style="3" customWidth="1"/>
    <col min="13272" max="13272" width="12.453125" style="3" customWidth="1"/>
    <col min="13273" max="13273" width="21.453125" style="3" customWidth="1"/>
    <col min="13274" max="13274" width="12.453125" style="3" customWidth="1"/>
    <col min="13275" max="13275" width="14.453125" style="3" customWidth="1"/>
    <col min="13276" max="13276" width="15.1796875" style="3" customWidth="1"/>
    <col min="13277" max="13277" width="12.453125" style="3" customWidth="1"/>
    <col min="13278" max="13278" width="13" style="3" customWidth="1"/>
    <col min="13279" max="13279" width="14.54296875" style="3" customWidth="1"/>
    <col min="13280" max="13280" width="44.453125" style="3" customWidth="1"/>
    <col min="13281" max="13281" width="34.54296875" style="3" customWidth="1"/>
    <col min="13282" max="13282" width="37.453125" style="3" customWidth="1"/>
    <col min="13283" max="13283" width="19.81640625" style="3" customWidth="1"/>
    <col min="13284" max="13308" width="8.81640625" style="3"/>
    <col min="13309" max="13309" width="9.54296875" style="3" customWidth="1"/>
    <col min="13310" max="13310" width="50.54296875" style="3" customWidth="1"/>
    <col min="13311" max="13311" width="14.81640625" style="3" customWidth="1"/>
    <col min="13312" max="13312" width="15.54296875" style="3" customWidth="1"/>
    <col min="13313" max="13313" width="8.54296875" style="3" customWidth="1"/>
    <col min="13314" max="13314" width="21.1796875" style="3" customWidth="1"/>
    <col min="13315" max="13315" width="10.453125" style="3" customWidth="1"/>
    <col min="13316" max="13316" width="17.453125" style="3" customWidth="1"/>
    <col min="13317" max="13317" width="11.1796875" style="3" customWidth="1"/>
    <col min="13318" max="13318" width="17.453125" style="3" customWidth="1"/>
    <col min="13319" max="13319" width="9.453125" style="3" customWidth="1"/>
    <col min="13320" max="13320" width="17.453125" style="3" customWidth="1"/>
    <col min="13321" max="13321" width="10.453125" style="3" customWidth="1"/>
    <col min="13322" max="13322" width="19.453125" style="3" customWidth="1"/>
    <col min="13323" max="13323" width="17.453125" style="3" customWidth="1"/>
    <col min="13324" max="13324" width="43.81640625" style="3" customWidth="1"/>
    <col min="13325" max="13325" width="10.453125" style="3" customWidth="1"/>
    <col min="13326" max="13326" width="13.453125" style="3" customWidth="1"/>
    <col min="13327" max="13328" width="21.453125" style="3" customWidth="1"/>
    <col min="13329" max="13330" width="22" style="3" customWidth="1"/>
    <col min="13331" max="13332" width="22.453125" style="3" customWidth="1"/>
    <col min="13333" max="13334" width="22.81640625" style="3" customWidth="1"/>
    <col min="13335" max="13335" width="19.453125" style="3" customWidth="1"/>
    <col min="13336" max="13336" width="8.81640625" style="3"/>
    <col min="13337" max="13337" width="17.453125" style="3" customWidth="1"/>
    <col min="13338" max="13338" width="16" style="3" customWidth="1"/>
    <col min="13339" max="13340" width="17.453125" style="3" customWidth="1"/>
    <col min="13341" max="13341" width="16.453125" style="3" customWidth="1"/>
    <col min="13342" max="13342" width="8.81640625" style="3"/>
    <col min="13343" max="13343" width="22.453125" style="3" customWidth="1"/>
    <col min="13344" max="13344" width="22.1796875" style="3" customWidth="1"/>
    <col min="13345" max="13346" width="17.453125" style="3" customWidth="1"/>
    <col min="13347" max="13347" width="18.1796875" style="3" customWidth="1"/>
    <col min="13348" max="13525" width="8.81640625" style="3"/>
    <col min="13526" max="13526" width="1.453125" style="3" customWidth="1"/>
    <col min="13527" max="13527" width="51.453125" style="3" customWidth="1"/>
    <col min="13528" max="13528" width="12.453125" style="3" customWidth="1"/>
    <col min="13529" max="13529" width="21.453125" style="3" customWidth="1"/>
    <col min="13530" max="13530" width="12.453125" style="3" customWidth="1"/>
    <col min="13531" max="13531" width="14.453125" style="3" customWidth="1"/>
    <col min="13532" max="13532" width="15.1796875" style="3" customWidth="1"/>
    <col min="13533" max="13533" width="12.453125" style="3" customWidth="1"/>
    <col min="13534" max="13534" width="13" style="3" customWidth="1"/>
    <col min="13535" max="13535" width="14.54296875" style="3" customWidth="1"/>
    <col min="13536" max="13536" width="44.453125" style="3" customWidth="1"/>
    <col min="13537" max="13537" width="34.54296875" style="3" customWidth="1"/>
    <col min="13538" max="13538" width="37.453125" style="3" customWidth="1"/>
    <col min="13539" max="13539" width="19.81640625" style="3" customWidth="1"/>
    <col min="13540" max="13564" width="8.81640625" style="3"/>
    <col min="13565" max="13565" width="9.54296875" style="3" customWidth="1"/>
    <col min="13566" max="13566" width="50.54296875" style="3" customWidth="1"/>
    <col min="13567" max="13567" width="14.81640625" style="3" customWidth="1"/>
    <col min="13568" max="13568" width="15.54296875" style="3" customWidth="1"/>
    <col min="13569" max="13569" width="8.54296875" style="3" customWidth="1"/>
    <col min="13570" max="13570" width="21.1796875" style="3" customWidth="1"/>
    <col min="13571" max="13571" width="10.453125" style="3" customWidth="1"/>
    <col min="13572" max="13572" width="17.453125" style="3" customWidth="1"/>
    <col min="13573" max="13573" width="11.1796875" style="3" customWidth="1"/>
    <col min="13574" max="13574" width="17.453125" style="3" customWidth="1"/>
    <col min="13575" max="13575" width="9.453125" style="3" customWidth="1"/>
    <col min="13576" max="13576" width="17.453125" style="3" customWidth="1"/>
    <col min="13577" max="13577" width="10.453125" style="3" customWidth="1"/>
    <col min="13578" max="13578" width="19.453125" style="3" customWidth="1"/>
    <col min="13579" max="13579" width="17.453125" style="3" customWidth="1"/>
    <col min="13580" max="13580" width="43.81640625" style="3" customWidth="1"/>
    <col min="13581" max="13581" width="10.453125" style="3" customWidth="1"/>
    <col min="13582" max="13582" width="13.453125" style="3" customWidth="1"/>
    <col min="13583" max="13584" width="21.453125" style="3" customWidth="1"/>
    <col min="13585" max="13586" width="22" style="3" customWidth="1"/>
    <col min="13587" max="13588" width="22.453125" style="3" customWidth="1"/>
    <col min="13589" max="13590" width="22.81640625" style="3" customWidth="1"/>
    <col min="13591" max="13591" width="19.453125" style="3" customWidth="1"/>
    <col min="13592" max="13592" width="8.81640625" style="3"/>
    <col min="13593" max="13593" width="17.453125" style="3" customWidth="1"/>
    <col min="13594" max="13594" width="16" style="3" customWidth="1"/>
    <col min="13595" max="13596" width="17.453125" style="3" customWidth="1"/>
    <col min="13597" max="13597" width="16.453125" style="3" customWidth="1"/>
    <col min="13598" max="13598" width="8.81640625" style="3"/>
    <col min="13599" max="13599" width="22.453125" style="3" customWidth="1"/>
    <col min="13600" max="13600" width="22.1796875" style="3" customWidth="1"/>
    <col min="13601" max="13602" width="17.453125" style="3" customWidth="1"/>
    <col min="13603" max="13603" width="18.1796875" style="3" customWidth="1"/>
    <col min="13604" max="13781" width="8.81640625" style="3"/>
    <col min="13782" max="13782" width="1.453125" style="3" customWidth="1"/>
    <col min="13783" max="13783" width="51.453125" style="3" customWidth="1"/>
    <col min="13784" max="13784" width="12.453125" style="3" customWidth="1"/>
    <col min="13785" max="13785" width="21.453125" style="3" customWidth="1"/>
    <col min="13786" max="13786" width="12.453125" style="3" customWidth="1"/>
    <col min="13787" max="13787" width="14.453125" style="3" customWidth="1"/>
    <col min="13788" max="13788" width="15.1796875" style="3" customWidth="1"/>
    <col min="13789" max="13789" width="12.453125" style="3" customWidth="1"/>
    <col min="13790" max="13790" width="13" style="3" customWidth="1"/>
    <col min="13791" max="13791" width="14.54296875" style="3" customWidth="1"/>
    <col min="13792" max="13792" width="44.453125" style="3" customWidth="1"/>
    <col min="13793" max="13793" width="34.54296875" style="3" customWidth="1"/>
    <col min="13794" max="13794" width="37.453125" style="3" customWidth="1"/>
    <col min="13795" max="13795" width="19.81640625" style="3" customWidth="1"/>
    <col min="13796" max="13820" width="8.81640625" style="3"/>
    <col min="13821" max="13821" width="9.54296875" style="3" customWidth="1"/>
    <col min="13822" max="13822" width="50.54296875" style="3" customWidth="1"/>
    <col min="13823" max="13823" width="14.81640625" style="3" customWidth="1"/>
    <col min="13824" max="13824" width="15.54296875" style="3" customWidth="1"/>
    <col min="13825" max="13825" width="8.54296875" style="3" customWidth="1"/>
    <col min="13826" max="13826" width="21.1796875" style="3" customWidth="1"/>
    <col min="13827" max="13827" width="10.453125" style="3" customWidth="1"/>
    <col min="13828" max="13828" width="17.453125" style="3" customWidth="1"/>
    <col min="13829" max="13829" width="11.1796875" style="3" customWidth="1"/>
    <col min="13830" max="13830" width="17.453125" style="3" customWidth="1"/>
    <col min="13831" max="13831" width="9.453125" style="3" customWidth="1"/>
    <col min="13832" max="13832" width="17.453125" style="3" customWidth="1"/>
    <col min="13833" max="13833" width="10.453125" style="3" customWidth="1"/>
    <col min="13834" max="13834" width="19.453125" style="3" customWidth="1"/>
    <col min="13835" max="13835" width="17.453125" style="3" customWidth="1"/>
    <col min="13836" max="13836" width="43.81640625" style="3" customWidth="1"/>
    <col min="13837" max="13837" width="10.453125" style="3" customWidth="1"/>
    <col min="13838" max="13838" width="13.453125" style="3" customWidth="1"/>
    <col min="13839" max="13840" width="21.453125" style="3" customWidth="1"/>
    <col min="13841" max="13842" width="22" style="3" customWidth="1"/>
    <col min="13843" max="13844" width="22.453125" style="3" customWidth="1"/>
    <col min="13845" max="13846" width="22.81640625" style="3" customWidth="1"/>
    <col min="13847" max="13847" width="19.453125" style="3" customWidth="1"/>
    <col min="13848" max="13848" width="8.81640625" style="3"/>
    <col min="13849" max="13849" width="17.453125" style="3" customWidth="1"/>
    <col min="13850" max="13850" width="16" style="3" customWidth="1"/>
    <col min="13851" max="13852" width="17.453125" style="3" customWidth="1"/>
    <col min="13853" max="13853" width="16.453125" style="3" customWidth="1"/>
    <col min="13854" max="13854" width="8.81640625" style="3"/>
    <col min="13855" max="13855" width="22.453125" style="3" customWidth="1"/>
    <col min="13856" max="13856" width="22.1796875" style="3" customWidth="1"/>
    <col min="13857" max="13858" width="17.453125" style="3" customWidth="1"/>
    <col min="13859" max="13859" width="18.1796875" style="3" customWidth="1"/>
    <col min="13860" max="14037" width="8.81640625" style="3"/>
    <col min="14038" max="14038" width="1.453125" style="3" customWidth="1"/>
    <col min="14039" max="14039" width="51.453125" style="3" customWidth="1"/>
    <col min="14040" max="14040" width="12.453125" style="3" customWidth="1"/>
    <col min="14041" max="14041" width="21.453125" style="3" customWidth="1"/>
    <col min="14042" max="14042" width="12.453125" style="3" customWidth="1"/>
    <col min="14043" max="14043" width="14.453125" style="3" customWidth="1"/>
    <col min="14044" max="14044" width="15.1796875" style="3" customWidth="1"/>
    <col min="14045" max="14045" width="12.453125" style="3" customWidth="1"/>
    <col min="14046" max="14046" width="13" style="3" customWidth="1"/>
    <col min="14047" max="14047" width="14.54296875" style="3" customWidth="1"/>
    <col min="14048" max="14048" width="44.453125" style="3" customWidth="1"/>
    <col min="14049" max="14049" width="34.54296875" style="3" customWidth="1"/>
    <col min="14050" max="14050" width="37.453125" style="3" customWidth="1"/>
    <col min="14051" max="14051" width="19.81640625" style="3" customWidth="1"/>
    <col min="14052" max="14076" width="8.81640625" style="3"/>
    <col min="14077" max="14077" width="9.54296875" style="3" customWidth="1"/>
    <col min="14078" max="14078" width="50.54296875" style="3" customWidth="1"/>
    <col min="14079" max="14079" width="14.81640625" style="3" customWidth="1"/>
    <col min="14080" max="14080" width="15.54296875" style="3" customWidth="1"/>
    <col min="14081" max="14081" width="8.54296875" style="3" customWidth="1"/>
    <col min="14082" max="14082" width="21.1796875" style="3" customWidth="1"/>
    <col min="14083" max="14083" width="10.453125" style="3" customWidth="1"/>
    <col min="14084" max="14084" width="17.453125" style="3" customWidth="1"/>
    <col min="14085" max="14085" width="11.1796875" style="3" customWidth="1"/>
    <col min="14086" max="14086" width="17.453125" style="3" customWidth="1"/>
    <col min="14087" max="14087" width="9.453125" style="3" customWidth="1"/>
    <col min="14088" max="14088" width="17.453125" style="3" customWidth="1"/>
    <col min="14089" max="14089" width="10.453125" style="3" customWidth="1"/>
    <col min="14090" max="14090" width="19.453125" style="3" customWidth="1"/>
    <col min="14091" max="14091" width="17.453125" style="3" customWidth="1"/>
    <col min="14092" max="14092" width="43.81640625" style="3" customWidth="1"/>
    <col min="14093" max="14093" width="10.453125" style="3" customWidth="1"/>
    <col min="14094" max="14094" width="13.453125" style="3" customWidth="1"/>
    <col min="14095" max="14096" width="21.453125" style="3" customWidth="1"/>
    <col min="14097" max="14098" width="22" style="3" customWidth="1"/>
    <col min="14099" max="14100" width="22.453125" style="3" customWidth="1"/>
    <col min="14101" max="14102" width="22.81640625" style="3" customWidth="1"/>
    <col min="14103" max="14103" width="19.453125" style="3" customWidth="1"/>
    <col min="14104" max="14104" width="8.81640625" style="3"/>
    <col min="14105" max="14105" width="17.453125" style="3" customWidth="1"/>
    <col min="14106" max="14106" width="16" style="3" customWidth="1"/>
    <col min="14107" max="14108" width="17.453125" style="3" customWidth="1"/>
    <col min="14109" max="14109" width="16.453125" style="3" customWidth="1"/>
    <col min="14110" max="14110" width="8.81640625" style="3"/>
    <col min="14111" max="14111" width="22.453125" style="3" customWidth="1"/>
    <col min="14112" max="14112" width="22.1796875" style="3" customWidth="1"/>
    <col min="14113" max="14114" width="17.453125" style="3" customWidth="1"/>
    <col min="14115" max="14115" width="18.1796875" style="3" customWidth="1"/>
    <col min="14116" max="14293" width="8.81640625" style="3"/>
    <col min="14294" max="14294" width="1.453125" style="3" customWidth="1"/>
    <col min="14295" max="14295" width="51.453125" style="3" customWidth="1"/>
    <col min="14296" max="14296" width="12.453125" style="3" customWidth="1"/>
    <col min="14297" max="14297" width="21.453125" style="3" customWidth="1"/>
    <col min="14298" max="14298" width="12.453125" style="3" customWidth="1"/>
    <col min="14299" max="14299" width="14.453125" style="3" customWidth="1"/>
    <col min="14300" max="14300" width="15.1796875" style="3" customWidth="1"/>
    <col min="14301" max="14301" width="12.453125" style="3" customWidth="1"/>
    <col min="14302" max="14302" width="13" style="3" customWidth="1"/>
    <col min="14303" max="14303" width="14.54296875" style="3" customWidth="1"/>
    <col min="14304" max="14304" width="44.453125" style="3" customWidth="1"/>
    <col min="14305" max="14305" width="34.54296875" style="3" customWidth="1"/>
    <col min="14306" max="14306" width="37.453125" style="3" customWidth="1"/>
    <col min="14307" max="14307" width="19.81640625" style="3" customWidth="1"/>
    <col min="14308" max="14332" width="8.81640625" style="3"/>
    <col min="14333" max="14333" width="9.54296875" style="3" customWidth="1"/>
    <col min="14334" max="14334" width="50.54296875" style="3" customWidth="1"/>
    <col min="14335" max="14335" width="14.81640625" style="3" customWidth="1"/>
    <col min="14336" max="14336" width="15.54296875" style="3" customWidth="1"/>
    <col min="14337" max="14337" width="8.54296875" style="3" customWidth="1"/>
    <col min="14338" max="14338" width="21.1796875" style="3" customWidth="1"/>
    <col min="14339" max="14339" width="10.453125" style="3" customWidth="1"/>
    <col min="14340" max="14340" width="17.453125" style="3" customWidth="1"/>
    <col min="14341" max="14341" width="11.1796875" style="3" customWidth="1"/>
    <col min="14342" max="14342" width="17.453125" style="3" customWidth="1"/>
    <col min="14343" max="14343" width="9.453125" style="3" customWidth="1"/>
    <col min="14344" max="14344" width="17.453125" style="3" customWidth="1"/>
    <col min="14345" max="14345" width="10.453125" style="3" customWidth="1"/>
    <col min="14346" max="14346" width="19.453125" style="3" customWidth="1"/>
    <col min="14347" max="14347" width="17.453125" style="3" customWidth="1"/>
    <col min="14348" max="14348" width="43.81640625" style="3" customWidth="1"/>
    <col min="14349" max="14349" width="10.453125" style="3" customWidth="1"/>
    <col min="14350" max="14350" width="13.453125" style="3" customWidth="1"/>
    <col min="14351" max="14352" width="21.453125" style="3" customWidth="1"/>
    <col min="14353" max="14354" width="22" style="3" customWidth="1"/>
    <col min="14355" max="14356" width="22.453125" style="3" customWidth="1"/>
    <col min="14357" max="14358" width="22.81640625" style="3" customWidth="1"/>
    <col min="14359" max="14359" width="19.453125" style="3" customWidth="1"/>
    <col min="14360" max="14360" width="8.81640625" style="3"/>
    <col min="14361" max="14361" width="17.453125" style="3" customWidth="1"/>
    <col min="14362" max="14362" width="16" style="3" customWidth="1"/>
    <col min="14363" max="14364" width="17.453125" style="3" customWidth="1"/>
    <col min="14365" max="14365" width="16.453125" style="3" customWidth="1"/>
    <col min="14366" max="14366" width="8.81640625" style="3"/>
    <col min="14367" max="14367" width="22.453125" style="3" customWidth="1"/>
    <col min="14368" max="14368" width="22.1796875" style="3" customWidth="1"/>
    <col min="14369" max="14370" width="17.453125" style="3" customWidth="1"/>
    <col min="14371" max="14371" width="18.1796875" style="3" customWidth="1"/>
    <col min="14372" max="14549" width="8.81640625" style="3"/>
    <col min="14550" max="14550" width="1.453125" style="3" customWidth="1"/>
    <col min="14551" max="14551" width="51.453125" style="3" customWidth="1"/>
    <col min="14552" max="14552" width="12.453125" style="3" customWidth="1"/>
    <col min="14553" max="14553" width="21.453125" style="3" customWidth="1"/>
    <col min="14554" max="14554" width="12.453125" style="3" customWidth="1"/>
    <col min="14555" max="14555" width="14.453125" style="3" customWidth="1"/>
    <col min="14556" max="14556" width="15.1796875" style="3" customWidth="1"/>
    <col min="14557" max="14557" width="12.453125" style="3" customWidth="1"/>
    <col min="14558" max="14558" width="13" style="3" customWidth="1"/>
    <col min="14559" max="14559" width="14.54296875" style="3" customWidth="1"/>
    <col min="14560" max="14560" width="44.453125" style="3" customWidth="1"/>
    <col min="14561" max="14561" width="34.54296875" style="3" customWidth="1"/>
    <col min="14562" max="14562" width="37.453125" style="3" customWidth="1"/>
    <col min="14563" max="14563" width="19.81640625" style="3" customWidth="1"/>
    <col min="14564" max="14588" width="8.81640625" style="3"/>
    <col min="14589" max="14589" width="9.54296875" style="3" customWidth="1"/>
    <col min="14590" max="14590" width="50.54296875" style="3" customWidth="1"/>
    <col min="14591" max="14591" width="14.81640625" style="3" customWidth="1"/>
    <col min="14592" max="14592" width="15.54296875" style="3" customWidth="1"/>
    <col min="14593" max="14593" width="8.54296875" style="3" customWidth="1"/>
    <col min="14594" max="14594" width="21.1796875" style="3" customWidth="1"/>
    <col min="14595" max="14595" width="10.453125" style="3" customWidth="1"/>
    <col min="14596" max="14596" width="17.453125" style="3" customWidth="1"/>
    <col min="14597" max="14597" width="11.1796875" style="3" customWidth="1"/>
    <col min="14598" max="14598" width="17.453125" style="3" customWidth="1"/>
    <col min="14599" max="14599" width="9.453125" style="3" customWidth="1"/>
    <col min="14600" max="14600" width="17.453125" style="3" customWidth="1"/>
    <col min="14601" max="14601" width="10.453125" style="3" customWidth="1"/>
    <col min="14602" max="14602" width="19.453125" style="3" customWidth="1"/>
    <col min="14603" max="14603" width="17.453125" style="3" customWidth="1"/>
    <col min="14604" max="14604" width="43.81640625" style="3" customWidth="1"/>
    <col min="14605" max="14605" width="10.453125" style="3" customWidth="1"/>
    <col min="14606" max="14606" width="13.453125" style="3" customWidth="1"/>
    <col min="14607" max="14608" width="21.453125" style="3" customWidth="1"/>
    <col min="14609" max="14610" width="22" style="3" customWidth="1"/>
    <col min="14611" max="14612" width="22.453125" style="3" customWidth="1"/>
    <col min="14613" max="14614" width="22.81640625" style="3" customWidth="1"/>
    <col min="14615" max="14615" width="19.453125" style="3" customWidth="1"/>
    <col min="14616" max="14616" width="8.81640625" style="3"/>
    <col min="14617" max="14617" width="17.453125" style="3" customWidth="1"/>
    <col min="14618" max="14618" width="16" style="3" customWidth="1"/>
    <col min="14619" max="14620" width="17.453125" style="3" customWidth="1"/>
    <col min="14621" max="14621" width="16.453125" style="3" customWidth="1"/>
    <col min="14622" max="14622" width="8.81640625" style="3"/>
    <col min="14623" max="14623" width="22.453125" style="3" customWidth="1"/>
    <col min="14624" max="14624" width="22.1796875" style="3" customWidth="1"/>
    <col min="14625" max="14626" width="17.453125" style="3" customWidth="1"/>
    <col min="14627" max="14627" width="18.1796875" style="3" customWidth="1"/>
    <col min="14628" max="14805" width="8.81640625" style="3"/>
    <col min="14806" max="14806" width="1.453125" style="3" customWidth="1"/>
    <col min="14807" max="14807" width="51.453125" style="3" customWidth="1"/>
    <col min="14808" max="14808" width="12.453125" style="3" customWidth="1"/>
    <col min="14809" max="14809" width="21.453125" style="3" customWidth="1"/>
    <col min="14810" max="14810" width="12.453125" style="3" customWidth="1"/>
    <col min="14811" max="14811" width="14.453125" style="3" customWidth="1"/>
    <col min="14812" max="14812" width="15.1796875" style="3" customWidth="1"/>
    <col min="14813" max="14813" width="12.453125" style="3" customWidth="1"/>
    <col min="14814" max="14814" width="13" style="3" customWidth="1"/>
    <col min="14815" max="14815" width="14.54296875" style="3" customWidth="1"/>
    <col min="14816" max="14816" width="44.453125" style="3" customWidth="1"/>
    <col min="14817" max="14817" width="34.54296875" style="3" customWidth="1"/>
    <col min="14818" max="14818" width="37.453125" style="3" customWidth="1"/>
    <col min="14819" max="14819" width="19.81640625" style="3" customWidth="1"/>
    <col min="14820" max="14844" width="8.81640625" style="3"/>
    <col min="14845" max="14845" width="9.54296875" style="3" customWidth="1"/>
    <col min="14846" max="14846" width="50.54296875" style="3" customWidth="1"/>
    <col min="14847" max="14847" width="14.81640625" style="3" customWidth="1"/>
    <col min="14848" max="14848" width="15.54296875" style="3" customWidth="1"/>
    <col min="14849" max="14849" width="8.54296875" style="3" customWidth="1"/>
    <col min="14850" max="14850" width="21.1796875" style="3" customWidth="1"/>
    <col min="14851" max="14851" width="10.453125" style="3" customWidth="1"/>
    <col min="14852" max="14852" width="17.453125" style="3" customWidth="1"/>
    <col min="14853" max="14853" width="11.1796875" style="3" customWidth="1"/>
    <col min="14854" max="14854" width="17.453125" style="3" customWidth="1"/>
    <col min="14855" max="14855" width="9.453125" style="3" customWidth="1"/>
    <col min="14856" max="14856" width="17.453125" style="3" customWidth="1"/>
    <col min="14857" max="14857" width="10.453125" style="3" customWidth="1"/>
    <col min="14858" max="14858" width="19.453125" style="3" customWidth="1"/>
    <col min="14859" max="14859" width="17.453125" style="3" customWidth="1"/>
    <col min="14860" max="14860" width="43.81640625" style="3" customWidth="1"/>
    <col min="14861" max="14861" width="10.453125" style="3" customWidth="1"/>
    <col min="14862" max="14862" width="13.453125" style="3" customWidth="1"/>
    <col min="14863" max="14864" width="21.453125" style="3" customWidth="1"/>
    <col min="14865" max="14866" width="22" style="3" customWidth="1"/>
    <col min="14867" max="14868" width="22.453125" style="3" customWidth="1"/>
    <col min="14869" max="14870" width="22.81640625" style="3" customWidth="1"/>
    <col min="14871" max="14871" width="19.453125" style="3" customWidth="1"/>
    <col min="14872" max="14872" width="8.81640625" style="3"/>
    <col min="14873" max="14873" width="17.453125" style="3" customWidth="1"/>
    <col min="14874" max="14874" width="16" style="3" customWidth="1"/>
    <col min="14875" max="14876" width="17.453125" style="3" customWidth="1"/>
    <col min="14877" max="14877" width="16.453125" style="3" customWidth="1"/>
    <col min="14878" max="14878" width="8.81640625" style="3"/>
    <col min="14879" max="14879" width="22.453125" style="3" customWidth="1"/>
    <col min="14880" max="14880" width="22.1796875" style="3" customWidth="1"/>
    <col min="14881" max="14882" width="17.453125" style="3" customWidth="1"/>
    <col min="14883" max="14883" width="18.1796875" style="3" customWidth="1"/>
    <col min="14884" max="15061" width="8.81640625" style="3"/>
    <col min="15062" max="15062" width="1.453125" style="3" customWidth="1"/>
    <col min="15063" max="15063" width="51.453125" style="3" customWidth="1"/>
    <col min="15064" max="15064" width="12.453125" style="3" customWidth="1"/>
    <col min="15065" max="15065" width="21.453125" style="3" customWidth="1"/>
    <col min="15066" max="15066" width="12.453125" style="3" customWidth="1"/>
    <col min="15067" max="15067" width="14.453125" style="3" customWidth="1"/>
    <col min="15068" max="15068" width="15.1796875" style="3" customWidth="1"/>
    <col min="15069" max="15069" width="12.453125" style="3" customWidth="1"/>
    <col min="15070" max="15070" width="13" style="3" customWidth="1"/>
    <col min="15071" max="15071" width="14.54296875" style="3" customWidth="1"/>
    <col min="15072" max="15072" width="44.453125" style="3" customWidth="1"/>
    <col min="15073" max="15073" width="34.54296875" style="3" customWidth="1"/>
    <col min="15074" max="15074" width="37.453125" style="3" customWidth="1"/>
    <col min="15075" max="15075" width="19.81640625" style="3" customWidth="1"/>
    <col min="15076" max="15100" width="8.81640625" style="3"/>
    <col min="15101" max="15101" width="9.54296875" style="3" customWidth="1"/>
    <col min="15102" max="15102" width="50.54296875" style="3" customWidth="1"/>
    <col min="15103" max="15103" width="14.81640625" style="3" customWidth="1"/>
    <col min="15104" max="15104" width="15.54296875" style="3" customWidth="1"/>
    <col min="15105" max="15105" width="8.54296875" style="3" customWidth="1"/>
    <col min="15106" max="15106" width="21.1796875" style="3" customWidth="1"/>
    <col min="15107" max="15107" width="10.453125" style="3" customWidth="1"/>
    <col min="15108" max="15108" width="17.453125" style="3" customWidth="1"/>
    <col min="15109" max="15109" width="11.1796875" style="3" customWidth="1"/>
    <col min="15110" max="15110" width="17.453125" style="3" customWidth="1"/>
    <col min="15111" max="15111" width="9.453125" style="3" customWidth="1"/>
    <col min="15112" max="15112" width="17.453125" style="3" customWidth="1"/>
    <col min="15113" max="15113" width="10.453125" style="3" customWidth="1"/>
    <col min="15114" max="15114" width="19.453125" style="3" customWidth="1"/>
    <col min="15115" max="15115" width="17.453125" style="3" customWidth="1"/>
    <col min="15116" max="15116" width="43.81640625" style="3" customWidth="1"/>
    <col min="15117" max="15117" width="10.453125" style="3" customWidth="1"/>
    <col min="15118" max="15118" width="13.453125" style="3" customWidth="1"/>
    <col min="15119" max="15120" width="21.453125" style="3" customWidth="1"/>
    <col min="15121" max="15122" width="22" style="3" customWidth="1"/>
    <col min="15123" max="15124" width="22.453125" style="3" customWidth="1"/>
    <col min="15125" max="15126" width="22.81640625" style="3" customWidth="1"/>
    <col min="15127" max="15127" width="19.453125" style="3" customWidth="1"/>
    <col min="15128" max="15128" width="8.81640625" style="3"/>
    <col min="15129" max="15129" width="17.453125" style="3" customWidth="1"/>
    <col min="15130" max="15130" width="16" style="3" customWidth="1"/>
    <col min="15131" max="15132" width="17.453125" style="3" customWidth="1"/>
    <col min="15133" max="15133" width="16.453125" style="3" customWidth="1"/>
    <col min="15134" max="15134" width="8.81640625" style="3"/>
    <col min="15135" max="15135" width="22.453125" style="3" customWidth="1"/>
    <col min="15136" max="15136" width="22.1796875" style="3" customWidth="1"/>
    <col min="15137" max="15138" width="17.453125" style="3" customWidth="1"/>
    <col min="15139" max="15139" width="18.1796875" style="3" customWidth="1"/>
    <col min="15140" max="15317" width="8.81640625" style="3"/>
    <col min="15318" max="15318" width="1.453125" style="3" customWidth="1"/>
    <col min="15319" max="15319" width="51.453125" style="3" customWidth="1"/>
    <col min="15320" max="15320" width="12.453125" style="3" customWidth="1"/>
    <col min="15321" max="15321" width="21.453125" style="3" customWidth="1"/>
    <col min="15322" max="15322" width="12.453125" style="3" customWidth="1"/>
    <col min="15323" max="15323" width="14.453125" style="3" customWidth="1"/>
    <col min="15324" max="15324" width="15.1796875" style="3" customWidth="1"/>
    <col min="15325" max="15325" width="12.453125" style="3" customWidth="1"/>
    <col min="15326" max="15326" width="13" style="3" customWidth="1"/>
    <col min="15327" max="15327" width="14.54296875" style="3" customWidth="1"/>
    <col min="15328" max="15328" width="44.453125" style="3" customWidth="1"/>
    <col min="15329" max="15329" width="34.54296875" style="3" customWidth="1"/>
    <col min="15330" max="15330" width="37.453125" style="3" customWidth="1"/>
    <col min="15331" max="15331" width="19.81640625" style="3" customWidth="1"/>
    <col min="15332" max="15356" width="8.81640625" style="3"/>
    <col min="15357" max="15357" width="9.54296875" style="3" customWidth="1"/>
    <col min="15358" max="15358" width="50.54296875" style="3" customWidth="1"/>
    <col min="15359" max="15359" width="14.81640625" style="3" customWidth="1"/>
    <col min="15360" max="15360" width="15.54296875" style="3" customWidth="1"/>
    <col min="15361" max="15361" width="8.54296875" style="3" customWidth="1"/>
    <col min="15362" max="15362" width="21.1796875" style="3" customWidth="1"/>
    <col min="15363" max="15363" width="10.453125" style="3" customWidth="1"/>
    <col min="15364" max="15364" width="17.453125" style="3" customWidth="1"/>
    <col min="15365" max="15365" width="11.1796875" style="3" customWidth="1"/>
    <col min="15366" max="15366" width="17.453125" style="3" customWidth="1"/>
    <col min="15367" max="15367" width="9.453125" style="3" customWidth="1"/>
    <col min="15368" max="15368" width="17.453125" style="3" customWidth="1"/>
    <col min="15369" max="15369" width="10.453125" style="3" customWidth="1"/>
    <col min="15370" max="15370" width="19.453125" style="3" customWidth="1"/>
    <col min="15371" max="15371" width="17.453125" style="3" customWidth="1"/>
    <col min="15372" max="15372" width="43.81640625" style="3" customWidth="1"/>
    <col min="15373" max="15373" width="10.453125" style="3" customWidth="1"/>
    <col min="15374" max="15374" width="13.453125" style="3" customWidth="1"/>
    <col min="15375" max="15376" width="21.453125" style="3" customWidth="1"/>
    <col min="15377" max="15378" width="22" style="3" customWidth="1"/>
    <col min="15379" max="15380" width="22.453125" style="3" customWidth="1"/>
    <col min="15381" max="15382" width="22.81640625" style="3" customWidth="1"/>
    <col min="15383" max="15383" width="19.453125" style="3" customWidth="1"/>
    <col min="15384" max="15384" width="8.81640625" style="3"/>
    <col min="15385" max="15385" width="17.453125" style="3" customWidth="1"/>
    <col min="15386" max="15386" width="16" style="3" customWidth="1"/>
    <col min="15387" max="15388" width="17.453125" style="3" customWidth="1"/>
    <col min="15389" max="15389" width="16.453125" style="3" customWidth="1"/>
    <col min="15390" max="15390" width="8.81640625" style="3"/>
    <col min="15391" max="15391" width="22.453125" style="3" customWidth="1"/>
    <col min="15392" max="15392" width="22.1796875" style="3" customWidth="1"/>
    <col min="15393" max="15394" width="17.453125" style="3" customWidth="1"/>
    <col min="15395" max="15395" width="18.1796875" style="3" customWidth="1"/>
    <col min="15396" max="15573" width="8.81640625" style="3"/>
    <col min="15574" max="15574" width="1.453125" style="3" customWidth="1"/>
    <col min="15575" max="15575" width="51.453125" style="3" customWidth="1"/>
    <col min="15576" max="15576" width="12.453125" style="3" customWidth="1"/>
    <col min="15577" max="15577" width="21.453125" style="3" customWidth="1"/>
    <col min="15578" max="15578" width="12.453125" style="3" customWidth="1"/>
    <col min="15579" max="15579" width="14.453125" style="3" customWidth="1"/>
    <col min="15580" max="15580" width="15.1796875" style="3" customWidth="1"/>
    <col min="15581" max="15581" width="12.453125" style="3" customWidth="1"/>
    <col min="15582" max="15582" width="13" style="3" customWidth="1"/>
    <col min="15583" max="15583" width="14.54296875" style="3" customWidth="1"/>
    <col min="15584" max="15584" width="44.453125" style="3" customWidth="1"/>
    <col min="15585" max="15585" width="34.54296875" style="3" customWidth="1"/>
    <col min="15586" max="15586" width="37.453125" style="3" customWidth="1"/>
    <col min="15587" max="15587" width="19.81640625" style="3" customWidth="1"/>
    <col min="15588" max="15612" width="8.81640625" style="3"/>
    <col min="15613" max="15613" width="9.54296875" style="3" customWidth="1"/>
    <col min="15614" max="15614" width="50.54296875" style="3" customWidth="1"/>
    <col min="15615" max="15615" width="14.81640625" style="3" customWidth="1"/>
    <col min="15616" max="15616" width="15.54296875" style="3" customWidth="1"/>
    <col min="15617" max="15617" width="8.54296875" style="3" customWidth="1"/>
    <col min="15618" max="15618" width="21.1796875" style="3" customWidth="1"/>
    <col min="15619" max="15619" width="10.453125" style="3" customWidth="1"/>
    <col min="15620" max="15620" width="17.453125" style="3" customWidth="1"/>
    <col min="15621" max="15621" width="11.1796875" style="3" customWidth="1"/>
    <col min="15622" max="15622" width="17.453125" style="3" customWidth="1"/>
    <col min="15623" max="15623" width="9.453125" style="3" customWidth="1"/>
    <col min="15624" max="15624" width="17.453125" style="3" customWidth="1"/>
    <col min="15625" max="15625" width="10.453125" style="3" customWidth="1"/>
    <col min="15626" max="15626" width="19.453125" style="3" customWidth="1"/>
    <col min="15627" max="15627" width="17.453125" style="3" customWidth="1"/>
    <col min="15628" max="15628" width="43.81640625" style="3" customWidth="1"/>
    <col min="15629" max="15629" width="10.453125" style="3" customWidth="1"/>
    <col min="15630" max="15630" width="13.453125" style="3" customWidth="1"/>
    <col min="15631" max="15632" width="21.453125" style="3" customWidth="1"/>
    <col min="15633" max="15634" width="22" style="3" customWidth="1"/>
    <col min="15635" max="15636" width="22.453125" style="3" customWidth="1"/>
    <col min="15637" max="15638" width="22.81640625" style="3" customWidth="1"/>
    <col min="15639" max="15639" width="19.453125" style="3" customWidth="1"/>
    <col min="15640" max="15640" width="8.81640625" style="3"/>
    <col min="15641" max="15641" width="17.453125" style="3" customWidth="1"/>
    <col min="15642" max="15642" width="16" style="3" customWidth="1"/>
    <col min="15643" max="15644" width="17.453125" style="3" customWidth="1"/>
    <col min="15645" max="15645" width="16.453125" style="3" customWidth="1"/>
    <col min="15646" max="15646" width="8.81640625" style="3"/>
    <col min="15647" max="15647" width="22.453125" style="3" customWidth="1"/>
    <col min="15648" max="15648" width="22.1796875" style="3" customWidth="1"/>
    <col min="15649" max="15650" width="17.453125" style="3" customWidth="1"/>
    <col min="15651" max="15651" width="18.1796875" style="3" customWidth="1"/>
    <col min="15652" max="15829" width="8.81640625" style="3"/>
    <col min="15830" max="15830" width="1.453125" style="3" customWidth="1"/>
    <col min="15831" max="15831" width="51.453125" style="3" customWidth="1"/>
    <col min="15832" max="15832" width="12.453125" style="3" customWidth="1"/>
    <col min="15833" max="15833" width="21.453125" style="3" customWidth="1"/>
    <col min="15834" max="15834" width="12.453125" style="3" customWidth="1"/>
    <col min="15835" max="15835" width="14.453125" style="3" customWidth="1"/>
    <col min="15836" max="15836" width="15.1796875" style="3" customWidth="1"/>
    <col min="15837" max="15837" width="12.453125" style="3" customWidth="1"/>
    <col min="15838" max="15838" width="13" style="3" customWidth="1"/>
    <col min="15839" max="15839" width="14.54296875" style="3" customWidth="1"/>
    <col min="15840" max="15840" width="44.453125" style="3" customWidth="1"/>
    <col min="15841" max="15841" width="34.54296875" style="3" customWidth="1"/>
    <col min="15842" max="15842" width="37.453125" style="3" customWidth="1"/>
    <col min="15843" max="15843" width="19.81640625" style="3" customWidth="1"/>
    <col min="15844" max="15868" width="8.81640625" style="3"/>
    <col min="15869" max="15869" width="9.54296875" style="3" customWidth="1"/>
    <col min="15870" max="15870" width="50.54296875" style="3" customWidth="1"/>
    <col min="15871" max="15871" width="14.81640625" style="3" customWidth="1"/>
    <col min="15872" max="15872" width="15.54296875" style="3" customWidth="1"/>
    <col min="15873" max="15873" width="8.54296875" style="3" customWidth="1"/>
    <col min="15874" max="15874" width="21.1796875" style="3" customWidth="1"/>
    <col min="15875" max="15875" width="10.453125" style="3" customWidth="1"/>
    <col min="15876" max="15876" width="17.453125" style="3" customWidth="1"/>
    <col min="15877" max="15877" width="11.1796875" style="3" customWidth="1"/>
    <col min="15878" max="15878" width="17.453125" style="3" customWidth="1"/>
    <col min="15879" max="15879" width="9.453125" style="3" customWidth="1"/>
    <col min="15880" max="15880" width="17.453125" style="3" customWidth="1"/>
    <col min="15881" max="15881" width="10.453125" style="3" customWidth="1"/>
    <col min="15882" max="15882" width="19.453125" style="3" customWidth="1"/>
    <col min="15883" max="15883" width="17.453125" style="3" customWidth="1"/>
    <col min="15884" max="15884" width="43.81640625" style="3" customWidth="1"/>
    <col min="15885" max="15885" width="10.453125" style="3" customWidth="1"/>
    <col min="15886" max="15886" width="13.453125" style="3" customWidth="1"/>
    <col min="15887" max="15888" width="21.453125" style="3" customWidth="1"/>
    <col min="15889" max="15890" width="22" style="3" customWidth="1"/>
    <col min="15891" max="15892" width="22.453125" style="3" customWidth="1"/>
    <col min="15893" max="15894" width="22.81640625" style="3" customWidth="1"/>
    <col min="15895" max="15895" width="19.453125" style="3" customWidth="1"/>
    <col min="15896" max="15896" width="8.81640625" style="3"/>
    <col min="15897" max="15897" width="17.453125" style="3" customWidth="1"/>
    <col min="15898" max="15898" width="16" style="3" customWidth="1"/>
    <col min="15899" max="15900" width="17.453125" style="3" customWidth="1"/>
    <col min="15901" max="15901" width="16.453125" style="3" customWidth="1"/>
    <col min="15902" max="15902" width="8.81640625" style="3"/>
    <col min="15903" max="15903" width="22.453125" style="3" customWidth="1"/>
    <col min="15904" max="15904" width="22.1796875" style="3" customWidth="1"/>
    <col min="15905" max="15906" width="17.453125" style="3" customWidth="1"/>
    <col min="15907" max="15907" width="18.1796875" style="3" customWidth="1"/>
    <col min="15908" max="16085" width="8.81640625" style="3"/>
    <col min="16086" max="16086" width="1.453125" style="3" customWidth="1"/>
    <col min="16087" max="16087" width="51.453125" style="3" customWidth="1"/>
    <col min="16088" max="16088" width="12.453125" style="3" customWidth="1"/>
    <col min="16089" max="16089" width="21.453125" style="3" customWidth="1"/>
    <col min="16090" max="16090" width="12.453125" style="3" customWidth="1"/>
    <col min="16091" max="16091" width="14.453125" style="3" customWidth="1"/>
    <col min="16092" max="16092" width="15.1796875" style="3" customWidth="1"/>
    <col min="16093" max="16093" width="12.453125" style="3" customWidth="1"/>
    <col min="16094" max="16094" width="13" style="3" customWidth="1"/>
    <col min="16095" max="16095" width="14.54296875" style="3" customWidth="1"/>
    <col min="16096" max="16096" width="44.453125" style="3" customWidth="1"/>
    <col min="16097" max="16097" width="34.54296875" style="3" customWidth="1"/>
    <col min="16098" max="16098" width="37.453125" style="3" customWidth="1"/>
    <col min="16099" max="16099" width="19.81640625" style="3" customWidth="1"/>
    <col min="16100" max="16124" width="8.81640625" style="3"/>
    <col min="16125" max="16125" width="9.54296875" style="3" customWidth="1"/>
    <col min="16126" max="16126" width="50.54296875" style="3" customWidth="1"/>
    <col min="16127" max="16127" width="14.81640625" style="3" customWidth="1"/>
    <col min="16128" max="16128" width="15.54296875" style="3" customWidth="1"/>
    <col min="16129" max="16129" width="8.54296875" style="3" customWidth="1"/>
    <col min="16130" max="16130" width="21.1796875" style="3" customWidth="1"/>
    <col min="16131" max="16131" width="10.453125" style="3" customWidth="1"/>
    <col min="16132" max="16132" width="17.453125" style="3" customWidth="1"/>
    <col min="16133" max="16133" width="11.1796875" style="3" customWidth="1"/>
    <col min="16134" max="16134" width="17.453125" style="3" customWidth="1"/>
    <col min="16135" max="16135" width="9.453125" style="3" customWidth="1"/>
    <col min="16136" max="16136" width="17.453125" style="3" customWidth="1"/>
    <col min="16137" max="16137" width="10.453125" style="3" customWidth="1"/>
    <col min="16138" max="16138" width="19.453125" style="3" customWidth="1"/>
    <col min="16139" max="16139" width="17.453125" style="3" customWidth="1"/>
    <col min="16140" max="16140" width="43.81640625" style="3" customWidth="1"/>
    <col min="16141" max="16141" width="10.453125" style="3" customWidth="1"/>
    <col min="16142" max="16142" width="13.453125" style="3" customWidth="1"/>
    <col min="16143" max="16144" width="21.453125" style="3" customWidth="1"/>
    <col min="16145" max="16146" width="22" style="3" customWidth="1"/>
    <col min="16147" max="16148" width="22.453125" style="3" customWidth="1"/>
    <col min="16149" max="16150" width="22.81640625" style="3" customWidth="1"/>
    <col min="16151" max="16151" width="19.453125" style="3" customWidth="1"/>
    <col min="16152" max="16152" width="8.81640625" style="3"/>
    <col min="16153" max="16153" width="17.453125" style="3" customWidth="1"/>
    <col min="16154" max="16154" width="16" style="3" customWidth="1"/>
    <col min="16155" max="16156" width="17.453125" style="3" customWidth="1"/>
    <col min="16157" max="16157" width="16.453125" style="3" customWidth="1"/>
    <col min="16158" max="16158" width="8.81640625" style="3"/>
    <col min="16159" max="16159" width="22.453125" style="3" customWidth="1"/>
    <col min="16160" max="16160" width="22.1796875" style="3" customWidth="1"/>
    <col min="16161" max="16162" width="17.453125" style="3" customWidth="1"/>
    <col min="16163" max="16163" width="18.1796875" style="3" customWidth="1"/>
    <col min="16164" max="16341" width="8.81640625" style="3"/>
    <col min="16342" max="16342" width="1.453125" style="3" customWidth="1"/>
    <col min="16343" max="16343" width="51.453125" style="3" customWidth="1"/>
    <col min="16344" max="16344" width="12.453125" style="3" customWidth="1"/>
    <col min="16345" max="16345" width="21.453125" style="3" customWidth="1"/>
    <col min="16346" max="16346" width="12.453125" style="3" customWidth="1"/>
    <col min="16347" max="16347" width="14.453125" style="3" customWidth="1"/>
    <col min="16348" max="16348" width="15.1796875" style="3" customWidth="1"/>
    <col min="16349" max="16349" width="12.453125" style="3" customWidth="1"/>
    <col min="16350" max="16350" width="13" style="3" customWidth="1"/>
    <col min="16351" max="16351" width="14.54296875" style="3" customWidth="1"/>
    <col min="16352" max="16352" width="44.453125" style="3" customWidth="1"/>
    <col min="16353" max="16353" width="34.54296875" style="3" customWidth="1"/>
    <col min="16354" max="16354" width="37.453125" style="3" customWidth="1"/>
    <col min="16355" max="16355" width="19.81640625" style="3" customWidth="1"/>
    <col min="16356" max="16384" width="8.81640625" style="3"/>
  </cols>
  <sheetData>
    <row r="1" spans="1:39">
      <c r="B1" s="6" t="s">
        <v>26</v>
      </c>
      <c r="C1" s="7"/>
      <c r="D1" s="7"/>
      <c r="E1" s="7"/>
      <c r="F1" s="26" t="s">
        <v>27</v>
      </c>
      <c r="G1" s="7"/>
      <c r="H1" s="26">
        <f>12000000*1.25</f>
        <v>15000000</v>
      </c>
      <c r="I1" s="7" t="s">
        <v>28</v>
      </c>
      <c r="J1" s="7"/>
      <c r="K1" s="7"/>
      <c r="L1" s="7"/>
      <c r="M1" s="7"/>
      <c r="N1" s="26"/>
      <c r="O1" s="7"/>
      <c r="P1" s="7"/>
      <c r="Q1" s="7"/>
      <c r="R1" s="7"/>
    </row>
    <row r="2" spans="1:39" ht="15" thickBot="1">
      <c r="B2" s="6" t="s">
        <v>29</v>
      </c>
      <c r="C2" s="7"/>
      <c r="D2" s="7"/>
      <c r="E2" s="7"/>
      <c r="F2" s="26" t="s">
        <v>30</v>
      </c>
      <c r="G2" s="7"/>
      <c r="H2" s="25">
        <f>N146</f>
        <v>485365010.00252056</v>
      </c>
      <c r="I2" s="7"/>
      <c r="J2" s="7"/>
      <c r="K2" s="7"/>
      <c r="L2" s="7"/>
      <c r="M2" s="7"/>
      <c r="N2" s="26"/>
      <c r="O2" s="7"/>
      <c r="P2" s="7"/>
      <c r="Q2" s="7"/>
      <c r="R2" s="7"/>
    </row>
    <row r="3" spans="1:39" ht="19" thickBot="1">
      <c r="B3" s="6" t="s">
        <v>31</v>
      </c>
      <c r="C3" s="7"/>
      <c r="D3" s="7"/>
      <c r="E3" s="7"/>
      <c r="F3" s="26" t="s">
        <v>32</v>
      </c>
      <c r="G3" s="7"/>
      <c r="H3" s="25">
        <f>H1-H2</f>
        <v>-470365010.00252056</v>
      </c>
      <c r="I3" s="7"/>
      <c r="J3" s="7"/>
      <c r="K3" s="7"/>
      <c r="L3" s="7"/>
      <c r="M3" s="7"/>
      <c r="N3" s="26"/>
      <c r="O3" s="7"/>
      <c r="P3" s="7"/>
      <c r="Q3" s="7"/>
      <c r="R3" s="7"/>
      <c r="S3" s="416" t="s">
        <v>33</v>
      </c>
      <c r="T3" s="417"/>
      <c r="U3" s="417"/>
      <c r="V3" s="417"/>
      <c r="W3" s="417"/>
      <c r="X3" s="417"/>
      <c r="Y3" s="417"/>
      <c r="Z3" s="417"/>
      <c r="AA3" s="418"/>
      <c r="AC3" s="419" t="s">
        <v>34</v>
      </c>
      <c r="AD3" s="420"/>
      <c r="AE3" s="420"/>
      <c r="AF3" s="420"/>
      <c r="AG3" s="421"/>
      <c r="AI3" s="422" t="s">
        <v>35</v>
      </c>
      <c r="AJ3" s="423"/>
      <c r="AK3" s="423"/>
      <c r="AL3" s="423"/>
      <c r="AM3" s="424"/>
    </row>
    <row r="4" spans="1:39" s="4" customFormat="1" ht="15" thickBot="1">
      <c r="B4" s="7" t="s">
        <v>36</v>
      </c>
      <c r="C4" s="7"/>
      <c r="D4" s="7"/>
      <c r="E4" s="7"/>
      <c r="F4" s="26" t="s">
        <v>37</v>
      </c>
      <c r="G4" s="7"/>
      <c r="H4" s="52">
        <f>O147</f>
        <v>0.13891700862684164</v>
      </c>
      <c r="I4" s="7"/>
      <c r="J4" s="7"/>
      <c r="K4" s="7"/>
      <c r="L4" s="7"/>
      <c r="M4" s="7"/>
      <c r="N4" s="26"/>
      <c r="O4" s="7"/>
      <c r="P4" s="7"/>
      <c r="Q4" s="7"/>
      <c r="R4" s="7"/>
      <c r="S4" s="7"/>
      <c r="T4" s="7"/>
      <c r="U4" s="9"/>
      <c r="V4" s="9"/>
      <c r="W4" s="9"/>
      <c r="X4" s="9"/>
      <c r="Y4" s="9"/>
      <c r="Z4" s="9"/>
      <c r="AA4" s="9"/>
      <c r="AC4" s="26"/>
      <c r="AD4" s="28" t="s">
        <v>38</v>
      </c>
      <c r="AE4" s="29">
        <v>2180</v>
      </c>
      <c r="AF4" s="28"/>
      <c r="AG4" s="28"/>
      <c r="AI4" s="24"/>
      <c r="AJ4" s="30" t="s">
        <v>39</v>
      </c>
      <c r="AK4" s="31">
        <v>8.4529999999999994</v>
      </c>
      <c r="AL4" s="30"/>
      <c r="AM4" s="30"/>
    </row>
    <row r="5" spans="1:39" s="4" customFormat="1" ht="15" thickBot="1">
      <c r="B5" s="7" t="s">
        <v>40</v>
      </c>
      <c r="C5" s="7"/>
      <c r="D5" s="26"/>
      <c r="E5" s="7"/>
      <c r="F5" s="32" t="s">
        <v>41</v>
      </c>
      <c r="G5" s="278"/>
      <c r="H5" s="33">
        <v>1.05</v>
      </c>
      <c r="I5" s="10"/>
      <c r="J5" s="33">
        <v>1.05</v>
      </c>
      <c r="K5" s="10"/>
      <c r="L5" s="33">
        <v>1.05</v>
      </c>
      <c r="M5" s="7"/>
      <c r="N5" s="26"/>
      <c r="O5" s="7"/>
      <c r="P5" s="7"/>
      <c r="S5" s="9"/>
      <c r="T5" s="9"/>
      <c r="U5" s="9"/>
      <c r="V5" s="9"/>
      <c r="W5" s="9"/>
      <c r="X5" s="9"/>
      <c r="Y5" s="9"/>
      <c r="Z5" s="9"/>
      <c r="AA5" s="9"/>
      <c r="AC5" s="28"/>
      <c r="AD5" s="28"/>
      <c r="AE5" s="28"/>
      <c r="AF5" s="28"/>
      <c r="AG5" s="28"/>
      <c r="AI5" s="30"/>
      <c r="AJ5" s="30" t="e">
        <f>#REF!*AK4</f>
        <v>#REF!</v>
      </c>
      <c r="AK5" s="30"/>
      <c r="AL5" s="30"/>
      <c r="AM5" s="30"/>
    </row>
    <row r="6" spans="1:39" s="4" customFormat="1">
      <c r="B6" s="7"/>
      <c r="C6" s="7"/>
      <c r="D6" s="26"/>
      <c r="E6" s="7"/>
      <c r="F6" s="26"/>
      <c r="G6" s="7"/>
      <c r="H6" s="28"/>
      <c r="I6" s="9"/>
      <c r="J6" s="28"/>
      <c r="K6" s="9"/>
      <c r="L6" s="28"/>
      <c r="M6" s="7"/>
      <c r="N6" s="26"/>
      <c r="O6" s="7"/>
      <c r="P6" s="7"/>
      <c r="S6" s="7"/>
      <c r="T6" s="7"/>
      <c r="U6" s="9"/>
      <c r="V6" s="9"/>
      <c r="W6" s="9"/>
      <c r="X6" s="9"/>
      <c r="Y6" s="9"/>
      <c r="Z6" s="9"/>
      <c r="AA6" s="9"/>
      <c r="AC6" s="26"/>
      <c r="AD6" s="28"/>
      <c r="AE6" s="28"/>
      <c r="AF6" s="28"/>
      <c r="AG6" s="28"/>
      <c r="AI6" s="24"/>
      <c r="AJ6" s="30"/>
      <c r="AK6" s="30"/>
      <c r="AL6" s="30"/>
      <c r="AM6" s="30"/>
    </row>
    <row r="7" spans="1:39" ht="15" thickBot="1"/>
    <row r="8" spans="1:39" ht="81.75" customHeight="1">
      <c r="A8" s="425" t="s">
        <v>42</v>
      </c>
      <c r="B8" s="427" t="s">
        <v>25</v>
      </c>
      <c r="C8" s="43" t="s">
        <v>43</v>
      </c>
      <c r="D8" s="34" t="s">
        <v>44</v>
      </c>
      <c r="E8" s="11" t="s">
        <v>45</v>
      </c>
      <c r="F8" s="34" t="s">
        <v>46</v>
      </c>
      <c r="G8" s="11" t="s">
        <v>47</v>
      </c>
      <c r="H8" s="34" t="s">
        <v>48</v>
      </c>
      <c r="I8" s="11" t="s">
        <v>49</v>
      </c>
      <c r="J8" s="34" t="s">
        <v>50</v>
      </c>
      <c r="K8" s="11" t="s">
        <v>51</v>
      </c>
      <c r="L8" s="34" t="s">
        <v>52</v>
      </c>
      <c r="M8" s="43" t="s">
        <v>53</v>
      </c>
      <c r="N8" s="34" t="s">
        <v>54</v>
      </c>
      <c r="O8" s="429" t="s">
        <v>55</v>
      </c>
      <c r="P8" s="12" t="s">
        <v>56</v>
      </c>
      <c r="S8" s="13" t="str">
        <f>F8</f>
        <v>Y1 July-2018- June 2019  Budget</v>
      </c>
      <c r="T8" s="15"/>
      <c r="U8" s="43" t="str">
        <f>H8</f>
        <v>Y2 July 2019-June  2020 Budget</v>
      </c>
      <c r="V8" s="43"/>
      <c r="W8" s="43" t="str">
        <f>J8</f>
        <v>Y3 July 2020-June 2021 Budget</v>
      </c>
      <c r="X8" s="43"/>
      <c r="Y8" s="43" t="str">
        <f>L8</f>
        <v>Y4 July2021-June 2022 Budget</v>
      </c>
      <c r="Z8" s="14"/>
      <c r="AA8" s="14" t="s">
        <v>57</v>
      </c>
      <c r="AC8" s="35" t="str">
        <f>S8</f>
        <v>Y1 July-2018- June 2019  Budget</v>
      </c>
      <c r="AD8" s="34" t="str">
        <f>U8</f>
        <v>Y2 July 2019-June  2020 Budget</v>
      </c>
      <c r="AE8" s="34" t="str">
        <f>W8</f>
        <v>Y3 July 2020-June 2021 Budget</v>
      </c>
      <c r="AF8" s="34" t="str">
        <f>Y8</f>
        <v>Y4 July2021-June 2022 Budget</v>
      </c>
      <c r="AG8" s="36" t="s">
        <v>24</v>
      </c>
      <c r="AI8" s="37" t="s">
        <v>58</v>
      </c>
      <c r="AJ8" s="38" t="s">
        <v>59</v>
      </c>
      <c r="AK8" s="38" t="s">
        <v>60</v>
      </c>
      <c r="AL8" s="38" t="s">
        <v>61</v>
      </c>
      <c r="AM8" s="39" t="s">
        <v>57</v>
      </c>
    </row>
    <row r="9" spans="1:39" ht="15" thickBot="1">
      <c r="A9" s="426"/>
      <c r="B9" s="428"/>
      <c r="C9" s="128" t="s">
        <v>62</v>
      </c>
      <c r="D9" s="129" t="s">
        <v>63</v>
      </c>
      <c r="E9" s="130" t="s">
        <v>64</v>
      </c>
      <c r="F9" s="129" t="s">
        <v>65</v>
      </c>
      <c r="G9" s="130" t="s">
        <v>66</v>
      </c>
      <c r="H9" s="129" t="s">
        <v>67</v>
      </c>
      <c r="I9" s="130" t="s">
        <v>68</v>
      </c>
      <c r="J9" s="129" t="s">
        <v>69</v>
      </c>
      <c r="K9" s="130" t="s">
        <v>70</v>
      </c>
      <c r="L9" s="129" t="s">
        <v>71</v>
      </c>
      <c r="M9" s="128" t="s">
        <v>72</v>
      </c>
      <c r="N9" s="129" t="s">
        <v>73</v>
      </c>
      <c r="O9" s="430"/>
      <c r="P9" s="131"/>
      <c r="S9" s="279"/>
      <c r="T9" s="280"/>
      <c r="U9" s="128"/>
      <c r="V9" s="128"/>
      <c r="W9" s="128"/>
      <c r="X9" s="128"/>
      <c r="Y9" s="128"/>
      <c r="Z9" s="281"/>
      <c r="AA9" s="281"/>
      <c r="AC9" s="282"/>
      <c r="AD9" s="129"/>
      <c r="AE9" s="129"/>
      <c r="AF9" s="129"/>
      <c r="AG9" s="283"/>
      <c r="AI9" s="284" t="s">
        <v>65</v>
      </c>
      <c r="AJ9" s="285" t="s">
        <v>67</v>
      </c>
      <c r="AK9" s="285" t="s">
        <v>69</v>
      </c>
      <c r="AL9" s="285" t="s">
        <v>71</v>
      </c>
      <c r="AM9" s="286" t="s">
        <v>71</v>
      </c>
    </row>
    <row r="10" spans="1:39" ht="14.25" customHeight="1">
      <c r="B10" s="132" t="s">
        <v>74</v>
      </c>
      <c r="C10" s="125"/>
      <c r="D10" s="133"/>
      <c r="E10" s="125"/>
      <c r="F10" s="133"/>
      <c r="G10" s="125"/>
      <c r="H10" s="133"/>
      <c r="I10" s="125"/>
      <c r="J10" s="133"/>
      <c r="K10" s="125"/>
      <c r="L10" s="133"/>
      <c r="M10" s="125"/>
      <c r="N10" s="133"/>
      <c r="O10" s="125"/>
      <c r="P10" s="134"/>
      <c r="S10" s="287"/>
      <c r="T10" s="288"/>
      <c r="U10" s="289"/>
      <c r="V10" s="289"/>
      <c r="W10" s="289"/>
      <c r="X10" s="289"/>
      <c r="Y10" s="289"/>
      <c r="Z10" s="290"/>
      <c r="AA10" s="290"/>
      <c r="AC10" s="291"/>
      <c r="AD10" s="292"/>
      <c r="AE10" s="292"/>
      <c r="AF10" s="292"/>
      <c r="AG10" s="293"/>
      <c r="AI10" s="294"/>
      <c r="AJ10" s="295"/>
      <c r="AK10" s="295"/>
      <c r="AL10" s="295"/>
      <c r="AM10" s="296"/>
    </row>
    <row r="11" spans="1:39" ht="14.25" customHeight="1">
      <c r="B11" s="351" t="s">
        <v>75</v>
      </c>
      <c r="C11" s="126"/>
      <c r="D11" s="135"/>
      <c r="E11" s="126"/>
      <c r="F11" s="135"/>
      <c r="G11" s="126"/>
      <c r="H11" s="135"/>
      <c r="I11" s="126"/>
      <c r="J11" s="135"/>
      <c r="K11" s="126"/>
      <c r="L11" s="135"/>
      <c r="M11" s="126"/>
      <c r="N11" s="135"/>
      <c r="O11" s="126"/>
      <c r="P11" s="136"/>
      <c r="S11" s="287"/>
      <c r="T11" s="183" t="s">
        <v>76</v>
      </c>
      <c r="U11" s="289"/>
      <c r="V11" s="183" t="s">
        <v>77</v>
      </c>
      <c r="W11" s="289"/>
      <c r="X11" s="183" t="s">
        <v>78</v>
      </c>
      <c r="Y11" s="289"/>
      <c r="Z11" s="183" t="s">
        <v>79</v>
      </c>
      <c r="AA11" s="290"/>
      <c r="AC11" s="291"/>
      <c r="AD11" s="292"/>
      <c r="AE11" s="292"/>
      <c r="AF11" s="292"/>
      <c r="AG11" s="293"/>
      <c r="AI11" s="297"/>
      <c r="AJ11" s="298"/>
      <c r="AK11" s="298"/>
      <c r="AL11" s="298"/>
      <c r="AM11" s="299"/>
    </row>
    <row r="12" spans="1:39" ht="14.25" customHeight="1">
      <c r="B12" s="351" t="s">
        <v>80</v>
      </c>
      <c r="C12" s="126"/>
      <c r="D12" s="135"/>
      <c r="E12" s="126"/>
      <c r="F12" s="135"/>
      <c r="G12" s="126"/>
      <c r="H12" s="135"/>
      <c r="I12" s="126"/>
      <c r="J12" s="135"/>
      <c r="K12" s="126"/>
      <c r="L12" s="135"/>
      <c r="M12" s="126"/>
      <c r="N12" s="135"/>
      <c r="O12" s="126"/>
      <c r="P12" s="136"/>
      <c r="S12" s="287"/>
      <c r="T12" s="183"/>
      <c r="U12" s="289"/>
      <c r="V12" s="183"/>
      <c r="W12" s="289"/>
      <c r="X12" s="183"/>
      <c r="Y12" s="289"/>
      <c r="Z12" s="183"/>
      <c r="AA12" s="290"/>
      <c r="AC12" s="291"/>
      <c r="AD12" s="292"/>
      <c r="AE12" s="292"/>
      <c r="AF12" s="292"/>
      <c r="AG12" s="293"/>
      <c r="AI12" s="297"/>
      <c r="AJ12" s="297"/>
      <c r="AK12" s="297"/>
      <c r="AL12" s="297"/>
      <c r="AM12" s="299"/>
    </row>
    <row r="13" spans="1:39" s="4" customFormat="1" ht="42.75" customHeight="1">
      <c r="B13" s="154" t="s">
        <v>81</v>
      </c>
      <c r="C13" s="137" t="s">
        <v>82</v>
      </c>
      <c r="D13" s="138">
        <v>2000</v>
      </c>
      <c r="E13" s="137">
        <v>12</v>
      </c>
      <c r="F13" s="139">
        <f t="shared" ref="F13:F19" si="0">E13*D13</f>
        <v>24000</v>
      </c>
      <c r="G13" s="138">
        <v>4</v>
      </c>
      <c r="H13" s="140">
        <f t="shared" ref="H13:H19" si="1">D13*$H$5*G13</f>
        <v>8400</v>
      </c>
      <c r="I13" s="137">
        <v>4</v>
      </c>
      <c r="J13" s="139">
        <f>D13*$H$5*$J$5*I13</f>
        <v>8820</v>
      </c>
      <c r="K13" s="137">
        <v>4</v>
      </c>
      <c r="L13" s="144">
        <f>D13*$H$5*$J$5*$L$5*K13</f>
        <v>9261</v>
      </c>
      <c r="M13" s="145">
        <f t="shared" ref="M13:N19" si="2">E13+G13+I13+K13</f>
        <v>24</v>
      </c>
      <c r="N13" s="146">
        <f>F13+H13+J13+L13</f>
        <v>50481</v>
      </c>
      <c r="O13" s="141" t="b">
        <f t="shared" ref="O13:O76" si="3">((D13*E13*$F$5)+(G13*D13*$H$5)+(D13*I13*$J$5^2)+(D13*K13*$L$5^3))=N13</f>
        <v>1</v>
      </c>
      <c r="P13" s="142" t="s">
        <v>83</v>
      </c>
      <c r="S13" s="352"/>
      <c r="T13" s="274"/>
      <c r="U13" s="353"/>
      <c r="V13" s="274"/>
      <c r="W13" s="353"/>
      <c r="X13" s="274"/>
      <c r="Y13" s="353"/>
      <c r="Z13" s="274"/>
      <c r="AA13" s="354"/>
      <c r="AC13" s="337"/>
      <c r="AD13" s="338"/>
      <c r="AE13" s="338"/>
      <c r="AF13" s="338"/>
      <c r="AG13" s="339"/>
      <c r="AI13" s="340"/>
      <c r="AJ13" s="340"/>
      <c r="AK13" s="340"/>
      <c r="AL13" s="340"/>
      <c r="AM13" s="342"/>
    </row>
    <row r="14" spans="1:39" s="4" customFormat="1" ht="14.25" customHeight="1">
      <c r="B14" t="s">
        <v>84</v>
      </c>
      <c r="C14" s="137" t="s">
        <v>82</v>
      </c>
      <c r="D14" s="138"/>
      <c r="E14" s="137"/>
      <c r="F14" s="139">
        <f t="shared" si="0"/>
        <v>0</v>
      </c>
      <c r="G14" s="138"/>
      <c r="H14" s="140">
        <f t="shared" si="1"/>
        <v>0</v>
      </c>
      <c r="I14" s="137"/>
      <c r="J14" s="139">
        <f t="shared" ref="J14:J19" si="4">D14*$H$5*$J$5*I14</f>
        <v>0</v>
      </c>
      <c r="K14" s="137"/>
      <c r="L14" s="144">
        <f t="shared" ref="L14:L19" si="5">D14*$H$5*$J$5*$L$5*K14</f>
        <v>0</v>
      </c>
      <c r="M14" s="145">
        <f t="shared" si="2"/>
        <v>0</v>
      </c>
      <c r="N14" s="146">
        <f t="shared" si="2"/>
        <v>0</v>
      </c>
      <c r="O14" s="141" t="b">
        <f t="shared" si="3"/>
        <v>1</v>
      </c>
      <c r="P14" s="142"/>
      <c r="S14" s="352"/>
      <c r="T14" s="274"/>
      <c r="U14" s="353"/>
      <c r="V14" s="274"/>
      <c r="W14" s="353"/>
      <c r="X14" s="274"/>
      <c r="Y14" s="353"/>
      <c r="Z14" s="274"/>
      <c r="AA14" s="354"/>
      <c r="AC14" s="337"/>
      <c r="AD14" s="338"/>
      <c r="AE14" s="338"/>
      <c r="AF14" s="338"/>
      <c r="AG14" s="339"/>
      <c r="AI14" s="340"/>
      <c r="AJ14" s="340"/>
      <c r="AK14" s="340"/>
      <c r="AL14" s="340"/>
      <c r="AM14" s="342"/>
    </row>
    <row r="15" spans="1:39" s="4" customFormat="1" ht="14.25" customHeight="1">
      <c r="B15" t="s">
        <v>85</v>
      </c>
      <c r="C15" s="137" t="s">
        <v>82</v>
      </c>
      <c r="D15" s="138"/>
      <c r="E15" s="137"/>
      <c r="F15" s="139">
        <f t="shared" si="0"/>
        <v>0</v>
      </c>
      <c r="G15" s="138"/>
      <c r="H15" s="140">
        <f t="shared" si="1"/>
        <v>0</v>
      </c>
      <c r="I15" s="137"/>
      <c r="J15" s="139">
        <f t="shared" si="4"/>
        <v>0</v>
      </c>
      <c r="K15" s="137"/>
      <c r="L15" s="144">
        <f t="shared" si="5"/>
        <v>0</v>
      </c>
      <c r="M15" s="145">
        <f t="shared" si="2"/>
        <v>0</v>
      </c>
      <c r="N15" s="146">
        <f t="shared" si="2"/>
        <v>0</v>
      </c>
      <c r="O15" s="141" t="b">
        <f t="shared" si="3"/>
        <v>1</v>
      </c>
      <c r="P15" s="142"/>
      <c r="S15" s="352"/>
      <c r="T15" s="274"/>
      <c r="U15" s="353"/>
      <c r="V15" s="274"/>
      <c r="W15" s="353"/>
      <c r="X15" s="274"/>
      <c r="Y15" s="353"/>
      <c r="Z15" s="274"/>
      <c r="AA15" s="354"/>
      <c r="AC15" s="337"/>
      <c r="AD15" s="338"/>
      <c r="AE15" s="338"/>
      <c r="AF15" s="338"/>
      <c r="AG15" s="339"/>
      <c r="AI15" s="340"/>
      <c r="AJ15" s="340"/>
      <c r="AK15" s="340"/>
      <c r="AL15" s="340"/>
      <c r="AM15" s="342"/>
    </row>
    <row r="16" spans="1:39" s="4" customFormat="1" ht="14.25" customHeight="1">
      <c r="B16" t="s">
        <v>86</v>
      </c>
      <c r="C16" s="137" t="s">
        <v>82</v>
      </c>
      <c r="D16" s="138"/>
      <c r="E16" s="137"/>
      <c r="F16" s="139">
        <f t="shared" si="0"/>
        <v>0</v>
      </c>
      <c r="G16" s="138"/>
      <c r="H16" s="140">
        <f t="shared" si="1"/>
        <v>0</v>
      </c>
      <c r="I16" s="137"/>
      <c r="J16" s="139">
        <f t="shared" si="4"/>
        <v>0</v>
      </c>
      <c r="K16" s="137"/>
      <c r="L16" s="144">
        <f t="shared" si="5"/>
        <v>0</v>
      </c>
      <c r="M16" s="145">
        <f t="shared" si="2"/>
        <v>0</v>
      </c>
      <c r="N16" s="146">
        <f t="shared" si="2"/>
        <v>0</v>
      </c>
      <c r="O16" s="141" t="b">
        <f t="shared" si="3"/>
        <v>1</v>
      </c>
      <c r="P16" s="142"/>
      <c r="S16" s="352"/>
      <c r="T16" s="274"/>
      <c r="U16" s="353"/>
      <c r="V16" s="274"/>
      <c r="W16" s="353"/>
      <c r="X16" s="274"/>
      <c r="Y16" s="353"/>
      <c r="Z16" s="274"/>
      <c r="AA16" s="354"/>
      <c r="AC16" s="337"/>
      <c r="AD16" s="338"/>
      <c r="AE16" s="338"/>
      <c r="AF16" s="338"/>
      <c r="AG16" s="339"/>
      <c r="AI16" s="340"/>
      <c r="AJ16" s="340"/>
      <c r="AK16" s="340"/>
      <c r="AL16" s="340"/>
      <c r="AM16" s="342"/>
    </row>
    <row r="17" spans="1:40" s="4" customFormat="1" ht="14.25" customHeight="1">
      <c r="B17" t="s">
        <v>87</v>
      </c>
      <c r="C17" s="137" t="s">
        <v>82</v>
      </c>
      <c r="D17" s="138"/>
      <c r="E17" s="137"/>
      <c r="F17" s="139">
        <f t="shared" si="0"/>
        <v>0</v>
      </c>
      <c r="G17" s="138"/>
      <c r="H17" s="140">
        <f t="shared" si="1"/>
        <v>0</v>
      </c>
      <c r="I17" s="137"/>
      <c r="J17" s="139">
        <f t="shared" si="4"/>
        <v>0</v>
      </c>
      <c r="K17" s="137"/>
      <c r="L17" s="144">
        <f t="shared" si="5"/>
        <v>0</v>
      </c>
      <c r="M17" s="145">
        <f t="shared" si="2"/>
        <v>0</v>
      </c>
      <c r="N17" s="146">
        <f t="shared" si="2"/>
        <v>0</v>
      </c>
      <c r="O17" s="141" t="b">
        <f t="shared" si="3"/>
        <v>1</v>
      </c>
      <c r="P17" s="142"/>
      <c r="S17" s="352"/>
      <c r="T17" s="274"/>
      <c r="U17" s="353"/>
      <c r="V17" s="274"/>
      <c r="W17" s="353"/>
      <c r="X17" s="274"/>
      <c r="Y17" s="353"/>
      <c r="Z17" s="274"/>
      <c r="AA17" s="354"/>
      <c r="AC17" s="337"/>
      <c r="AD17" s="338"/>
      <c r="AE17" s="338"/>
      <c r="AF17" s="338"/>
      <c r="AG17" s="339"/>
      <c r="AI17" s="340"/>
      <c r="AJ17" s="340"/>
      <c r="AK17" s="340"/>
      <c r="AL17" s="340"/>
      <c r="AM17" s="342"/>
    </row>
    <row r="18" spans="1:40" s="4" customFormat="1" ht="14.25" customHeight="1">
      <c r="B18" t="s">
        <v>88</v>
      </c>
      <c r="C18" s="137" t="s">
        <v>82</v>
      </c>
      <c r="D18" s="138"/>
      <c r="E18" s="137"/>
      <c r="F18" s="139">
        <f t="shared" si="0"/>
        <v>0</v>
      </c>
      <c r="G18" s="138"/>
      <c r="H18" s="140">
        <f t="shared" si="1"/>
        <v>0</v>
      </c>
      <c r="I18" s="137"/>
      <c r="J18" s="139">
        <f t="shared" si="4"/>
        <v>0</v>
      </c>
      <c r="K18" s="137"/>
      <c r="L18" s="144">
        <f t="shared" si="5"/>
        <v>0</v>
      </c>
      <c r="M18" s="145">
        <f t="shared" si="2"/>
        <v>0</v>
      </c>
      <c r="N18" s="146">
        <f t="shared" si="2"/>
        <v>0</v>
      </c>
      <c r="O18" s="141" t="b">
        <f t="shared" si="3"/>
        <v>1</v>
      </c>
      <c r="P18" s="142"/>
      <c r="S18" s="352"/>
      <c r="T18" s="274"/>
      <c r="U18" s="353"/>
      <c r="V18" s="274"/>
      <c r="W18" s="353"/>
      <c r="X18" s="274"/>
      <c r="Y18" s="353"/>
      <c r="Z18" s="274"/>
      <c r="AA18" s="354"/>
      <c r="AC18" s="337"/>
      <c r="AD18" s="338"/>
      <c r="AE18" s="338"/>
      <c r="AF18" s="338"/>
      <c r="AG18" s="339"/>
      <c r="AI18" s="340"/>
      <c r="AJ18" s="340"/>
      <c r="AK18" s="340"/>
      <c r="AL18" s="340"/>
      <c r="AM18" s="342"/>
    </row>
    <row r="19" spans="1:40" s="4" customFormat="1" ht="14.25" customHeight="1">
      <c r="B19" s="355"/>
      <c r="C19" s="137" t="s">
        <v>82</v>
      </c>
      <c r="D19" s="138"/>
      <c r="E19" s="137"/>
      <c r="F19" s="139">
        <f t="shared" si="0"/>
        <v>0</v>
      </c>
      <c r="G19" s="138"/>
      <c r="H19" s="140">
        <f t="shared" si="1"/>
        <v>0</v>
      </c>
      <c r="I19" s="137"/>
      <c r="J19" s="139">
        <f t="shared" si="4"/>
        <v>0</v>
      </c>
      <c r="K19" s="137"/>
      <c r="L19" s="144">
        <f t="shared" si="5"/>
        <v>0</v>
      </c>
      <c r="M19" s="145">
        <f t="shared" si="2"/>
        <v>0</v>
      </c>
      <c r="N19" s="146">
        <f t="shared" si="2"/>
        <v>0</v>
      </c>
      <c r="O19" s="141" t="b">
        <f t="shared" si="3"/>
        <v>1</v>
      </c>
      <c r="P19" s="142"/>
      <c r="S19" s="352"/>
      <c r="T19" s="274"/>
      <c r="U19" s="353"/>
      <c r="V19" s="274"/>
      <c r="W19" s="353"/>
      <c r="X19" s="274"/>
      <c r="Y19" s="353"/>
      <c r="Z19" s="274"/>
      <c r="AA19" s="354"/>
      <c r="AC19" s="337"/>
      <c r="AD19" s="338"/>
      <c r="AE19" s="338"/>
      <c r="AF19" s="338"/>
      <c r="AG19" s="339"/>
      <c r="AI19" s="340"/>
      <c r="AJ19" s="340"/>
      <c r="AK19" s="340"/>
      <c r="AL19" s="340"/>
      <c r="AM19" s="342"/>
    </row>
    <row r="20" spans="1:40" ht="14.25" customHeight="1">
      <c r="B20" s="351" t="s">
        <v>89</v>
      </c>
      <c r="C20" s="126"/>
      <c r="D20" s="135"/>
      <c r="E20" s="126"/>
      <c r="F20" s="135"/>
      <c r="G20" s="126"/>
      <c r="H20" s="135"/>
      <c r="I20" s="126"/>
      <c r="J20" s="135"/>
      <c r="K20" s="126"/>
      <c r="L20" s="135"/>
      <c r="M20" s="126"/>
      <c r="N20" s="135"/>
      <c r="O20" s="141" t="b">
        <f t="shared" si="3"/>
        <v>1</v>
      </c>
      <c r="P20" s="136"/>
      <c r="S20" s="287"/>
      <c r="T20" s="183"/>
      <c r="U20" s="289"/>
      <c r="V20" s="183"/>
      <c r="W20" s="289"/>
      <c r="X20" s="183"/>
      <c r="Y20" s="289"/>
      <c r="Z20" s="183"/>
      <c r="AA20" s="290"/>
      <c r="AC20" s="291"/>
      <c r="AD20" s="292"/>
      <c r="AE20" s="292"/>
      <c r="AF20" s="292"/>
      <c r="AG20" s="293"/>
      <c r="AI20" s="297"/>
      <c r="AJ20" s="297"/>
      <c r="AK20" s="297"/>
      <c r="AL20" s="297"/>
      <c r="AM20" s="299"/>
    </row>
    <row r="21" spans="1:40" s="4" customFormat="1" ht="43.5">
      <c r="A21" s="4" t="s">
        <v>90</v>
      </c>
      <c r="B21" s="143" t="s">
        <v>91</v>
      </c>
      <c r="C21" s="137" t="s">
        <v>82</v>
      </c>
      <c r="D21" s="138">
        <v>1500</v>
      </c>
      <c r="E21" s="137">
        <v>12</v>
      </c>
      <c r="F21" s="139">
        <f t="shared" ref="F21:F30" si="6">E21*D21</f>
        <v>18000</v>
      </c>
      <c r="G21" s="138"/>
      <c r="H21" s="140">
        <f t="shared" ref="H21:H26" si="7">D21*$H$5*G21</f>
        <v>0</v>
      </c>
      <c r="I21" s="137"/>
      <c r="J21" s="139">
        <f t="shared" ref="J21:J26" si="8">D21*$H$5*$J$5*I21</f>
        <v>0</v>
      </c>
      <c r="K21" s="137"/>
      <c r="L21" s="144">
        <f t="shared" ref="L21:L26" si="9">D21*$H$5*$J$5*$L$5*K21</f>
        <v>0</v>
      </c>
      <c r="M21" s="145">
        <f>E21+G21+I21+K21</f>
        <v>12</v>
      </c>
      <c r="N21" s="146">
        <f>F21+H21+J21+L21</f>
        <v>18000</v>
      </c>
      <c r="O21" s="141" t="b">
        <f t="shared" si="3"/>
        <v>1</v>
      </c>
      <c r="P21" s="142" t="s">
        <v>92</v>
      </c>
      <c r="S21" s="182">
        <f t="shared" ref="S21:S27" si="10">F21</f>
        <v>18000</v>
      </c>
      <c r="T21" s="183" t="s">
        <v>76</v>
      </c>
      <c r="U21" s="184">
        <f t="shared" ref="U21:U27" si="11">H21</f>
        <v>0</v>
      </c>
      <c r="V21" s="183" t="s">
        <v>77</v>
      </c>
      <c r="W21" s="184">
        <f t="shared" ref="W21:W27" si="12">J21</f>
        <v>0</v>
      </c>
      <c r="X21" s="183" t="s">
        <v>78</v>
      </c>
      <c r="Y21" s="184">
        <f t="shared" ref="Y21:Y27" si="13">L21</f>
        <v>0</v>
      </c>
      <c r="Z21" s="183" t="s">
        <v>79</v>
      </c>
      <c r="AA21" s="185">
        <f>SUM(S21:Y21)</f>
        <v>18000</v>
      </c>
      <c r="AB21" s="42">
        <f t="shared" ref="AB21:AB57" si="14">N21-AA21</f>
        <v>0</v>
      </c>
      <c r="AC21" s="186">
        <f>S21/$AE$4</f>
        <v>8.2568807339449535</v>
      </c>
      <c r="AD21" s="184">
        <f>U21/$AE$4</f>
        <v>0</v>
      </c>
      <c r="AE21" s="184">
        <f>W21/$AE$4</f>
        <v>0</v>
      </c>
      <c r="AF21" s="184">
        <f>Y21/$AE$4</f>
        <v>0</v>
      </c>
      <c r="AG21" s="185">
        <f>SUM(AC21:AF21)</f>
        <v>8.2568807339449535</v>
      </c>
      <c r="AI21" s="187">
        <f>AC21*$AK$4</f>
        <v>69.79541284403669</v>
      </c>
      <c r="AJ21" s="188">
        <f>AD21*$AK$4</f>
        <v>0</v>
      </c>
      <c r="AK21" s="188">
        <f>AE21*$AK$4</f>
        <v>0</v>
      </c>
      <c r="AL21" s="188">
        <f>AF21*$AK$4</f>
        <v>0</v>
      </c>
      <c r="AM21" s="189">
        <f>SUM(AI21:AL21)</f>
        <v>69.79541284403669</v>
      </c>
      <c r="AN21" s="48"/>
    </row>
    <row r="22" spans="1:40" s="4" customFormat="1" ht="29">
      <c r="A22" s="4" t="s">
        <v>90</v>
      </c>
      <c r="B22" s="356" t="s">
        <v>93</v>
      </c>
      <c r="C22" s="137" t="s">
        <v>82</v>
      </c>
      <c r="D22" s="138">
        <v>947388.80870833341</v>
      </c>
      <c r="E22" s="137">
        <v>12</v>
      </c>
      <c r="F22" s="139">
        <f t="shared" si="6"/>
        <v>11368665.704500001</v>
      </c>
      <c r="G22" s="137"/>
      <c r="H22" s="140">
        <f t="shared" si="7"/>
        <v>0</v>
      </c>
      <c r="I22" s="137"/>
      <c r="J22" s="139">
        <f t="shared" si="8"/>
        <v>0</v>
      </c>
      <c r="K22" s="137"/>
      <c r="L22" s="144">
        <f t="shared" si="9"/>
        <v>0</v>
      </c>
      <c r="M22" s="145">
        <f t="shared" ref="M22:N25" si="15">E22+G22+I22+K22</f>
        <v>12</v>
      </c>
      <c r="N22" s="146">
        <f t="shared" si="15"/>
        <v>11368665.704500001</v>
      </c>
      <c r="O22" s="141" t="b">
        <f t="shared" si="3"/>
        <v>1</v>
      </c>
      <c r="P22" s="357" t="s">
        <v>94</v>
      </c>
      <c r="R22" s="16"/>
      <c r="S22" s="182">
        <f t="shared" si="10"/>
        <v>11368665.704500001</v>
      </c>
      <c r="T22" s="183" t="s">
        <v>76</v>
      </c>
      <c r="U22" s="184">
        <f t="shared" si="11"/>
        <v>0</v>
      </c>
      <c r="V22" s="183" t="s">
        <v>77</v>
      </c>
      <c r="W22" s="184">
        <f t="shared" si="12"/>
        <v>0</v>
      </c>
      <c r="X22" s="183" t="s">
        <v>78</v>
      </c>
      <c r="Y22" s="184">
        <f t="shared" si="13"/>
        <v>0</v>
      </c>
      <c r="Z22" s="183" t="s">
        <v>79</v>
      </c>
      <c r="AA22" s="185">
        <f t="shared" ref="AA22:AA27" si="16">SUM(S22:Y22)</f>
        <v>11368665.704500001</v>
      </c>
      <c r="AB22" s="42">
        <f t="shared" si="14"/>
        <v>0</v>
      </c>
      <c r="AC22" s="186">
        <f t="shared" ref="AC22:AC27" si="17">S22/$AE$4</f>
        <v>5214.9842681192667</v>
      </c>
      <c r="AD22" s="184">
        <f t="shared" ref="AD22:AD27" si="18">U22/$AE$4</f>
        <v>0</v>
      </c>
      <c r="AE22" s="184">
        <f t="shared" ref="AE22:AE27" si="19">W22/$AE$4</f>
        <v>0</v>
      </c>
      <c r="AF22" s="184">
        <f t="shared" ref="AF22:AF27" si="20">Y22/$AE$4</f>
        <v>0</v>
      </c>
      <c r="AG22" s="185">
        <f t="shared" ref="AG22:AG27" si="21">SUM(AC22:AF22)</f>
        <v>5214.9842681192667</v>
      </c>
      <c r="AI22" s="187">
        <f t="shared" ref="AI22:AL27" si="22">AC22*$AK$4</f>
        <v>44082.262018412155</v>
      </c>
      <c r="AJ22" s="188">
        <f t="shared" si="22"/>
        <v>0</v>
      </c>
      <c r="AK22" s="188">
        <f t="shared" si="22"/>
        <v>0</v>
      </c>
      <c r="AL22" s="188">
        <f t="shared" si="22"/>
        <v>0</v>
      </c>
      <c r="AM22" s="189">
        <f t="shared" ref="AM22:AM27" si="23">SUM(AI22:AL22)</f>
        <v>44082.262018412155</v>
      </c>
      <c r="AN22" s="48"/>
    </row>
    <row r="23" spans="1:40" s="4" customFormat="1" ht="14.25" customHeight="1">
      <c r="A23" s="4" t="s">
        <v>90</v>
      </c>
      <c r="B23" s="143" t="s">
        <v>95</v>
      </c>
      <c r="C23" s="137" t="s">
        <v>82</v>
      </c>
      <c r="D23" s="138">
        <v>580145.06368541683</v>
      </c>
      <c r="E23" s="137">
        <v>12</v>
      </c>
      <c r="F23" s="139">
        <f t="shared" si="6"/>
        <v>6961740.7642250024</v>
      </c>
      <c r="G23" s="137"/>
      <c r="H23" s="140">
        <f t="shared" si="7"/>
        <v>0</v>
      </c>
      <c r="I23" s="137"/>
      <c r="J23" s="139">
        <f t="shared" si="8"/>
        <v>0</v>
      </c>
      <c r="K23" s="137"/>
      <c r="L23" s="144">
        <f t="shared" si="9"/>
        <v>0</v>
      </c>
      <c r="M23" s="145">
        <f t="shared" si="15"/>
        <v>12</v>
      </c>
      <c r="N23" s="146">
        <f t="shared" si="15"/>
        <v>6961740.7642250024</v>
      </c>
      <c r="O23" s="141" t="b">
        <f t="shared" si="3"/>
        <v>1</v>
      </c>
      <c r="P23" s="357"/>
      <c r="S23" s="182">
        <f t="shared" si="10"/>
        <v>6961740.7642250024</v>
      </c>
      <c r="T23" s="183" t="s">
        <v>76</v>
      </c>
      <c r="U23" s="184">
        <f t="shared" si="11"/>
        <v>0</v>
      </c>
      <c r="V23" s="183" t="s">
        <v>77</v>
      </c>
      <c r="W23" s="184">
        <f t="shared" si="12"/>
        <v>0</v>
      </c>
      <c r="X23" s="183" t="s">
        <v>78</v>
      </c>
      <c r="Y23" s="184">
        <f t="shared" si="13"/>
        <v>0</v>
      </c>
      <c r="Z23" s="183" t="s">
        <v>79</v>
      </c>
      <c r="AA23" s="185">
        <f t="shared" si="16"/>
        <v>6961740.7642250024</v>
      </c>
      <c r="AB23" s="42">
        <f t="shared" si="14"/>
        <v>0</v>
      </c>
      <c r="AC23" s="186">
        <f t="shared" si="17"/>
        <v>3193.4590661582579</v>
      </c>
      <c r="AD23" s="184">
        <f t="shared" si="18"/>
        <v>0</v>
      </c>
      <c r="AE23" s="184">
        <f t="shared" si="19"/>
        <v>0</v>
      </c>
      <c r="AF23" s="184">
        <f t="shared" si="20"/>
        <v>0</v>
      </c>
      <c r="AG23" s="185">
        <f t="shared" si="21"/>
        <v>3193.4590661582579</v>
      </c>
      <c r="AI23" s="187">
        <f t="shared" si="22"/>
        <v>26994.30948623575</v>
      </c>
      <c r="AJ23" s="188">
        <f t="shared" si="22"/>
        <v>0</v>
      </c>
      <c r="AK23" s="188">
        <f t="shared" si="22"/>
        <v>0</v>
      </c>
      <c r="AL23" s="188">
        <f t="shared" si="22"/>
        <v>0</v>
      </c>
      <c r="AM23" s="189">
        <f t="shared" si="23"/>
        <v>26994.30948623575</v>
      </c>
      <c r="AN23" s="48"/>
    </row>
    <row r="24" spans="1:40" s="4" customFormat="1" ht="14.25" customHeight="1">
      <c r="A24" s="4" t="s">
        <v>90</v>
      </c>
      <c r="B24" s="143" t="s">
        <v>96</v>
      </c>
      <c r="C24" s="137" t="s">
        <v>82</v>
      </c>
      <c r="D24" s="138">
        <v>679794.54704166669</v>
      </c>
      <c r="E24" s="137">
        <v>12</v>
      </c>
      <c r="F24" s="139">
        <f t="shared" si="6"/>
        <v>8157534.5645000003</v>
      </c>
      <c r="G24" s="137"/>
      <c r="H24" s="140">
        <f t="shared" si="7"/>
        <v>0</v>
      </c>
      <c r="I24" s="137"/>
      <c r="J24" s="139">
        <f t="shared" si="8"/>
        <v>0</v>
      </c>
      <c r="K24" s="137"/>
      <c r="L24" s="144">
        <f t="shared" si="9"/>
        <v>0</v>
      </c>
      <c r="M24" s="145">
        <f t="shared" si="15"/>
        <v>12</v>
      </c>
      <c r="N24" s="146">
        <f t="shared" si="15"/>
        <v>8157534.5645000003</v>
      </c>
      <c r="O24" s="141" t="b">
        <f t="shared" si="3"/>
        <v>1</v>
      </c>
      <c r="P24" s="357"/>
      <c r="S24" s="182">
        <f t="shared" si="10"/>
        <v>8157534.5645000003</v>
      </c>
      <c r="T24" s="183" t="s">
        <v>76</v>
      </c>
      <c r="U24" s="184">
        <f t="shared" si="11"/>
        <v>0</v>
      </c>
      <c r="V24" s="183" t="s">
        <v>77</v>
      </c>
      <c r="W24" s="184">
        <f t="shared" si="12"/>
        <v>0</v>
      </c>
      <c r="X24" s="183" t="s">
        <v>78</v>
      </c>
      <c r="Y24" s="184">
        <f t="shared" si="13"/>
        <v>0</v>
      </c>
      <c r="Z24" s="183" t="s">
        <v>79</v>
      </c>
      <c r="AA24" s="185">
        <f t="shared" si="16"/>
        <v>8157534.5645000003</v>
      </c>
      <c r="AB24" s="42">
        <f t="shared" si="14"/>
        <v>0</v>
      </c>
      <c r="AC24" s="186">
        <f t="shared" si="17"/>
        <v>3741.9883323394497</v>
      </c>
      <c r="AD24" s="184">
        <f t="shared" si="18"/>
        <v>0</v>
      </c>
      <c r="AE24" s="184">
        <f t="shared" si="19"/>
        <v>0</v>
      </c>
      <c r="AF24" s="184">
        <f t="shared" si="20"/>
        <v>0</v>
      </c>
      <c r="AG24" s="185">
        <f t="shared" si="21"/>
        <v>3741.9883323394497</v>
      </c>
      <c r="AI24" s="187">
        <f t="shared" si="22"/>
        <v>31631.027373265366</v>
      </c>
      <c r="AJ24" s="188">
        <f t="shared" si="22"/>
        <v>0</v>
      </c>
      <c r="AK24" s="188">
        <f t="shared" si="22"/>
        <v>0</v>
      </c>
      <c r="AL24" s="188">
        <f t="shared" si="22"/>
        <v>0</v>
      </c>
      <c r="AM24" s="189">
        <f t="shared" si="23"/>
        <v>31631.027373265366</v>
      </c>
      <c r="AN24" s="48"/>
    </row>
    <row r="25" spans="1:40" s="4" customFormat="1" ht="14.25" customHeight="1">
      <c r="A25" s="4" t="s">
        <v>90</v>
      </c>
      <c r="B25" s="143" t="s">
        <v>97</v>
      </c>
      <c r="C25" s="137" t="s">
        <v>82</v>
      </c>
      <c r="D25" s="138">
        <v>552582.3468833334</v>
      </c>
      <c r="E25" s="137">
        <v>12</v>
      </c>
      <c r="F25" s="139">
        <f t="shared" si="6"/>
        <v>6630988.1626000013</v>
      </c>
      <c r="G25" s="137"/>
      <c r="H25" s="140">
        <f t="shared" si="7"/>
        <v>0</v>
      </c>
      <c r="I25" s="137"/>
      <c r="J25" s="139">
        <f t="shared" si="8"/>
        <v>0</v>
      </c>
      <c r="K25" s="137"/>
      <c r="L25" s="144">
        <f t="shared" si="9"/>
        <v>0</v>
      </c>
      <c r="M25" s="145">
        <f t="shared" si="15"/>
        <v>12</v>
      </c>
      <c r="N25" s="146">
        <f t="shared" si="15"/>
        <v>6630988.1626000013</v>
      </c>
      <c r="O25" s="141" t="b">
        <f t="shared" si="3"/>
        <v>1</v>
      </c>
      <c r="P25" s="357"/>
      <c r="S25" s="182">
        <f t="shared" si="10"/>
        <v>6630988.1626000013</v>
      </c>
      <c r="T25" s="183" t="s">
        <v>76</v>
      </c>
      <c r="U25" s="184">
        <f t="shared" si="11"/>
        <v>0</v>
      </c>
      <c r="V25" s="183" t="s">
        <v>77</v>
      </c>
      <c r="W25" s="184">
        <f t="shared" si="12"/>
        <v>0</v>
      </c>
      <c r="X25" s="183" t="s">
        <v>78</v>
      </c>
      <c r="Y25" s="184">
        <f t="shared" si="13"/>
        <v>0</v>
      </c>
      <c r="Z25" s="183" t="s">
        <v>79</v>
      </c>
      <c r="AA25" s="185">
        <f t="shared" si="16"/>
        <v>6630988.1626000013</v>
      </c>
      <c r="AB25" s="42">
        <f t="shared" si="14"/>
        <v>0</v>
      </c>
      <c r="AC25" s="186">
        <f t="shared" si="17"/>
        <v>3041.7376892660554</v>
      </c>
      <c r="AD25" s="184">
        <f t="shared" si="18"/>
        <v>0</v>
      </c>
      <c r="AE25" s="184">
        <f t="shared" si="19"/>
        <v>0</v>
      </c>
      <c r="AF25" s="184">
        <f t="shared" si="20"/>
        <v>0</v>
      </c>
      <c r="AG25" s="185">
        <f t="shared" si="21"/>
        <v>3041.7376892660554</v>
      </c>
      <c r="AI25" s="187">
        <f t="shared" si="22"/>
        <v>25711.808687365963</v>
      </c>
      <c r="AJ25" s="188">
        <f t="shared" si="22"/>
        <v>0</v>
      </c>
      <c r="AK25" s="188">
        <f t="shared" si="22"/>
        <v>0</v>
      </c>
      <c r="AL25" s="188">
        <f t="shared" si="22"/>
        <v>0</v>
      </c>
      <c r="AM25" s="189">
        <f t="shared" si="23"/>
        <v>25711.808687365963</v>
      </c>
      <c r="AN25" s="48"/>
    </row>
    <row r="26" spans="1:40" s="4" customFormat="1" ht="14.25" customHeight="1">
      <c r="A26" s="4" t="s">
        <v>90</v>
      </c>
      <c r="B26" s="143" t="s">
        <v>98</v>
      </c>
      <c r="C26" s="137" t="s">
        <v>82</v>
      </c>
      <c r="D26" s="138">
        <v>211306.2470168334</v>
      </c>
      <c r="E26" s="137">
        <v>12</v>
      </c>
      <c r="F26" s="139">
        <f t="shared" si="6"/>
        <v>2535674.9642020008</v>
      </c>
      <c r="G26" s="137"/>
      <c r="H26" s="140">
        <f t="shared" si="7"/>
        <v>0</v>
      </c>
      <c r="I26" s="137"/>
      <c r="J26" s="139">
        <f t="shared" si="8"/>
        <v>0</v>
      </c>
      <c r="K26" s="137"/>
      <c r="L26" s="144">
        <f t="shared" si="9"/>
        <v>0</v>
      </c>
      <c r="M26" s="145">
        <f>E26+G26+I26+K26</f>
        <v>12</v>
      </c>
      <c r="N26" s="146">
        <f>F26+H26+J26+L26</f>
        <v>2535674.9642020008</v>
      </c>
      <c r="O26" s="141" t="b">
        <f t="shared" si="3"/>
        <v>1</v>
      </c>
      <c r="P26" s="357"/>
      <c r="S26" s="182">
        <f t="shared" si="10"/>
        <v>2535674.9642020008</v>
      </c>
      <c r="T26" s="183" t="s">
        <v>76</v>
      </c>
      <c r="U26" s="184">
        <f t="shared" si="11"/>
        <v>0</v>
      </c>
      <c r="V26" s="183" t="s">
        <v>77</v>
      </c>
      <c r="W26" s="184">
        <f t="shared" si="12"/>
        <v>0</v>
      </c>
      <c r="X26" s="183" t="s">
        <v>78</v>
      </c>
      <c r="Y26" s="184">
        <f t="shared" si="13"/>
        <v>0</v>
      </c>
      <c r="Z26" s="183" t="s">
        <v>79</v>
      </c>
      <c r="AA26" s="185">
        <f t="shared" si="16"/>
        <v>2535674.9642020008</v>
      </c>
      <c r="AB26" s="42">
        <f t="shared" si="14"/>
        <v>0</v>
      </c>
      <c r="AC26" s="186">
        <f t="shared" si="17"/>
        <v>1163.1536533036701</v>
      </c>
      <c r="AD26" s="184">
        <f t="shared" si="18"/>
        <v>0</v>
      </c>
      <c r="AE26" s="184">
        <f t="shared" si="19"/>
        <v>0</v>
      </c>
      <c r="AF26" s="184">
        <f t="shared" si="20"/>
        <v>0</v>
      </c>
      <c r="AG26" s="185">
        <f t="shared" si="21"/>
        <v>1163.1536533036701</v>
      </c>
      <c r="AI26" s="187">
        <f t="shared" si="22"/>
        <v>9832.1378313759233</v>
      </c>
      <c r="AJ26" s="188">
        <f t="shared" si="22"/>
        <v>0</v>
      </c>
      <c r="AK26" s="188">
        <f t="shared" si="22"/>
        <v>0</v>
      </c>
      <c r="AL26" s="188">
        <f t="shared" si="22"/>
        <v>0</v>
      </c>
      <c r="AM26" s="189">
        <f t="shared" si="23"/>
        <v>9832.1378313759233</v>
      </c>
      <c r="AN26" s="48"/>
    </row>
    <row r="27" spans="1:40" s="4" customFormat="1" ht="14.25" customHeight="1">
      <c r="A27" s="4" t="s">
        <v>90</v>
      </c>
      <c r="B27" s="143" t="s">
        <v>99</v>
      </c>
      <c r="C27" s="137" t="s">
        <v>100</v>
      </c>
      <c r="D27" s="138">
        <v>0</v>
      </c>
      <c r="E27" s="137">
        <v>1</v>
      </c>
      <c r="F27" s="139">
        <f t="shared" si="6"/>
        <v>0</v>
      </c>
      <c r="G27" s="137"/>
      <c r="H27" s="139">
        <f>G27*D27*$H$5</f>
        <v>0</v>
      </c>
      <c r="I27" s="137"/>
      <c r="J27" s="139">
        <f>D27*I27*$J$5</f>
        <v>0</v>
      </c>
      <c r="K27" s="137"/>
      <c r="L27" s="139">
        <f>D27*K27*$L$5</f>
        <v>0</v>
      </c>
      <c r="M27" s="145">
        <f>E27+G27+I27+K27</f>
        <v>1</v>
      </c>
      <c r="N27" s="146">
        <f>F27+H27+J27+L27</f>
        <v>0</v>
      </c>
      <c r="O27" s="141" t="b">
        <f t="shared" si="3"/>
        <v>1</v>
      </c>
      <c r="P27" s="357"/>
      <c r="S27" s="182">
        <f t="shared" si="10"/>
        <v>0</v>
      </c>
      <c r="T27" s="183" t="s">
        <v>76</v>
      </c>
      <c r="U27" s="184">
        <f t="shared" si="11"/>
        <v>0</v>
      </c>
      <c r="V27" s="183" t="s">
        <v>77</v>
      </c>
      <c r="W27" s="184">
        <f t="shared" si="12"/>
        <v>0</v>
      </c>
      <c r="X27" s="183" t="s">
        <v>78</v>
      </c>
      <c r="Y27" s="184">
        <f t="shared" si="13"/>
        <v>0</v>
      </c>
      <c r="Z27" s="183" t="s">
        <v>79</v>
      </c>
      <c r="AA27" s="185">
        <f t="shared" si="16"/>
        <v>0</v>
      </c>
      <c r="AB27" s="42">
        <f t="shared" si="14"/>
        <v>0</v>
      </c>
      <c r="AC27" s="186">
        <f t="shared" si="17"/>
        <v>0</v>
      </c>
      <c r="AD27" s="184">
        <f t="shared" si="18"/>
        <v>0</v>
      </c>
      <c r="AE27" s="184">
        <f t="shared" si="19"/>
        <v>0</v>
      </c>
      <c r="AF27" s="184">
        <f t="shared" si="20"/>
        <v>0</v>
      </c>
      <c r="AG27" s="185">
        <f t="shared" si="21"/>
        <v>0</v>
      </c>
      <c r="AI27" s="187">
        <f t="shared" si="22"/>
        <v>0</v>
      </c>
      <c r="AJ27" s="188">
        <f t="shared" si="22"/>
        <v>0</v>
      </c>
      <c r="AK27" s="188">
        <f t="shared" si="22"/>
        <v>0</v>
      </c>
      <c r="AL27" s="188">
        <f t="shared" si="22"/>
        <v>0</v>
      </c>
      <c r="AM27" s="189">
        <f t="shared" si="23"/>
        <v>0</v>
      </c>
      <c r="AN27" s="48"/>
    </row>
    <row r="28" spans="1:40" s="4" customFormat="1" ht="14.25" customHeight="1">
      <c r="B28" s="351" t="s">
        <v>101</v>
      </c>
      <c r="C28" s="126"/>
      <c r="D28" s="135"/>
      <c r="E28" s="126"/>
      <c r="F28" s="135"/>
      <c r="G28" s="126"/>
      <c r="H28" s="135"/>
      <c r="I28" s="126"/>
      <c r="J28" s="135"/>
      <c r="K28" s="126"/>
      <c r="L28" s="135"/>
      <c r="M28" s="126"/>
      <c r="N28" s="135"/>
      <c r="O28" s="141" t="b">
        <f t="shared" si="3"/>
        <v>1</v>
      </c>
      <c r="P28" s="136"/>
      <c r="S28" s="300"/>
      <c r="T28" s="183" t="s">
        <v>76</v>
      </c>
      <c r="U28" s="301"/>
      <c r="V28" s="183" t="s">
        <v>77</v>
      </c>
      <c r="W28" s="301"/>
      <c r="X28" s="183" t="s">
        <v>78</v>
      </c>
      <c r="Y28" s="301"/>
      <c r="Z28" s="183" t="s">
        <v>79</v>
      </c>
      <c r="AA28" s="302"/>
      <c r="AB28" s="42">
        <f t="shared" si="14"/>
        <v>0</v>
      </c>
      <c r="AC28" s="303"/>
      <c r="AD28" s="304"/>
      <c r="AE28" s="304"/>
      <c r="AF28" s="304"/>
      <c r="AG28" s="305"/>
      <c r="AI28" s="306"/>
      <c r="AJ28" s="307"/>
      <c r="AK28" s="307"/>
      <c r="AL28" s="307"/>
      <c r="AM28" s="308"/>
    </row>
    <row r="29" spans="1:40" s="4" customFormat="1" ht="14.25" customHeight="1">
      <c r="A29" s="4" t="s">
        <v>90</v>
      </c>
      <c r="B29" s="147"/>
      <c r="C29" s="137" t="s">
        <v>82</v>
      </c>
      <c r="D29" s="138"/>
      <c r="E29" s="137">
        <v>12</v>
      </c>
      <c r="F29" s="139">
        <f t="shared" si="6"/>
        <v>0</v>
      </c>
      <c r="G29" s="137">
        <v>12</v>
      </c>
      <c r="H29" s="140">
        <f>D29*$H$5*G29</f>
        <v>0</v>
      </c>
      <c r="I29" s="137">
        <v>12</v>
      </c>
      <c r="J29" s="139">
        <f>D29*$H$5*$J$5*I29</f>
        <v>0</v>
      </c>
      <c r="K29" s="137">
        <v>4</v>
      </c>
      <c r="L29" s="144">
        <f>D29*$H$5*$J$5*$L$5*K29</f>
        <v>0</v>
      </c>
      <c r="M29" s="145">
        <f t="shared" ref="M29:N38" si="24">E29+G29+I29+K29</f>
        <v>40</v>
      </c>
      <c r="N29" s="146">
        <f t="shared" si="24"/>
        <v>0</v>
      </c>
      <c r="O29" s="141" t="b">
        <f t="shared" si="3"/>
        <v>1</v>
      </c>
      <c r="P29" s="357"/>
      <c r="S29" s="182">
        <f t="shared" ref="S29:S38" si="25">F29</f>
        <v>0</v>
      </c>
      <c r="T29" s="183" t="s">
        <v>76</v>
      </c>
      <c r="U29" s="184">
        <f t="shared" ref="U29:U38" si="26">H29</f>
        <v>0</v>
      </c>
      <c r="V29" s="183" t="s">
        <v>77</v>
      </c>
      <c r="W29" s="184">
        <f t="shared" ref="W29:W38" si="27">J29</f>
        <v>0</v>
      </c>
      <c r="X29" s="183" t="s">
        <v>78</v>
      </c>
      <c r="Y29" s="184">
        <f t="shared" ref="Y29:Y38" si="28">L29</f>
        <v>0</v>
      </c>
      <c r="Z29" s="183" t="s">
        <v>79</v>
      </c>
      <c r="AA29" s="185">
        <f t="shared" ref="AA29:AA38" si="29">SUM(S29:Y29)</f>
        <v>0</v>
      </c>
      <c r="AB29" s="42">
        <f t="shared" si="14"/>
        <v>0</v>
      </c>
      <c r="AC29" s="186">
        <f t="shared" ref="AC29:AC38" si="30">S29/$AE$4</f>
        <v>0</v>
      </c>
      <c r="AD29" s="184">
        <f t="shared" ref="AD29:AD38" si="31">U29/$AE$4</f>
        <v>0</v>
      </c>
      <c r="AE29" s="184">
        <f t="shared" ref="AE29:AE38" si="32">W29/$AE$4</f>
        <v>0</v>
      </c>
      <c r="AF29" s="184">
        <f t="shared" ref="AF29:AF38" si="33">Y29/$AE$4</f>
        <v>0</v>
      </c>
      <c r="AG29" s="185">
        <f t="shared" ref="AG29:AG38" si="34">SUM(AC29:AF29)</f>
        <v>0</v>
      </c>
      <c r="AI29" s="187">
        <f t="shared" ref="AI29:AL38" si="35">AC29*$AK$4</f>
        <v>0</v>
      </c>
      <c r="AJ29" s="188">
        <f t="shared" si="35"/>
        <v>0</v>
      </c>
      <c r="AK29" s="188">
        <f t="shared" si="35"/>
        <v>0</v>
      </c>
      <c r="AL29" s="188">
        <f t="shared" si="35"/>
        <v>0</v>
      </c>
      <c r="AM29" s="189">
        <f t="shared" ref="AM29:AM38" si="36">SUM(AI29:AL29)</f>
        <v>0</v>
      </c>
      <c r="AN29" s="48"/>
    </row>
    <row r="30" spans="1:40" s="4" customFormat="1" ht="14.25" customHeight="1">
      <c r="A30" s="4" t="s">
        <v>90</v>
      </c>
      <c r="B30" s="143"/>
      <c r="C30" s="137" t="s">
        <v>82</v>
      </c>
      <c r="D30" s="138"/>
      <c r="E30" s="137">
        <v>12</v>
      </c>
      <c r="F30" s="139">
        <f t="shared" si="6"/>
        <v>0</v>
      </c>
      <c r="G30" s="137">
        <v>12</v>
      </c>
      <c r="H30" s="140">
        <f>D30*$H$5*G30</f>
        <v>0</v>
      </c>
      <c r="I30" s="137">
        <v>12</v>
      </c>
      <c r="J30" s="139">
        <f>D30*$H$5*$J$5*I30</f>
        <v>0</v>
      </c>
      <c r="K30" s="137">
        <v>4</v>
      </c>
      <c r="L30" s="144">
        <f>D30*$H$5*$J$5*$L$5*K30</f>
        <v>0</v>
      </c>
      <c r="M30" s="145">
        <f t="shared" si="24"/>
        <v>40</v>
      </c>
      <c r="N30" s="146">
        <f t="shared" si="24"/>
        <v>0</v>
      </c>
      <c r="O30" s="141" t="b">
        <f t="shared" si="3"/>
        <v>1</v>
      </c>
      <c r="P30" s="357"/>
      <c r="S30" s="182">
        <f t="shared" si="25"/>
        <v>0</v>
      </c>
      <c r="T30" s="183" t="s">
        <v>76</v>
      </c>
      <c r="U30" s="184">
        <f t="shared" si="26"/>
        <v>0</v>
      </c>
      <c r="V30" s="183" t="s">
        <v>77</v>
      </c>
      <c r="W30" s="184">
        <f t="shared" si="27"/>
        <v>0</v>
      </c>
      <c r="X30" s="183" t="s">
        <v>78</v>
      </c>
      <c r="Y30" s="184">
        <f t="shared" si="28"/>
        <v>0</v>
      </c>
      <c r="Z30" s="183" t="s">
        <v>79</v>
      </c>
      <c r="AA30" s="185">
        <f t="shared" si="29"/>
        <v>0</v>
      </c>
      <c r="AB30" s="42">
        <f t="shared" si="14"/>
        <v>0</v>
      </c>
      <c r="AC30" s="186">
        <f t="shared" si="30"/>
        <v>0</v>
      </c>
      <c r="AD30" s="184">
        <f t="shared" si="31"/>
        <v>0</v>
      </c>
      <c r="AE30" s="184">
        <f t="shared" si="32"/>
        <v>0</v>
      </c>
      <c r="AF30" s="184">
        <f t="shared" si="33"/>
        <v>0</v>
      </c>
      <c r="AG30" s="185">
        <f t="shared" si="34"/>
        <v>0</v>
      </c>
      <c r="AI30" s="187">
        <f t="shared" si="35"/>
        <v>0</v>
      </c>
      <c r="AJ30" s="188">
        <f t="shared" si="35"/>
        <v>0</v>
      </c>
      <c r="AK30" s="188">
        <f t="shared" si="35"/>
        <v>0</v>
      </c>
      <c r="AL30" s="188">
        <f t="shared" si="35"/>
        <v>0</v>
      </c>
      <c r="AM30" s="189">
        <f t="shared" si="36"/>
        <v>0</v>
      </c>
      <c r="AN30" s="48"/>
    </row>
    <row r="31" spans="1:40" s="4" customFormat="1" ht="14.25" customHeight="1">
      <c r="A31" s="4" t="s">
        <v>90</v>
      </c>
      <c r="B31" s="143"/>
      <c r="C31" s="137" t="s">
        <v>82</v>
      </c>
      <c r="D31" s="138"/>
      <c r="E31" s="137">
        <v>12</v>
      </c>
      <c r="F31" s="139">
        <v>0</v>
      </c>
      <c r="G31" s="137">
        <v>12</v>
      </c>
      <c r="H31" s="139">
        <v>0</v>
      </c>
      <c r="I31" s="137">
        <v>12</v>
      </c>
      <c r="J31" s="139">
        <v>0</v>
      </c>
      <c r="K31" s="137">
        <v>4</v>
      </c>
      <c r="L31" s="139">
        <v>0</v>
      </c>
      <c r="M31" s="145">
        <f t="shared" si="24"/>
        <v>40</v>
      </c>
      <c r="N31" s="146">
        <f t="shared" si="24"/>
        <v>0</v>
      </c>
      <c r="O31" s="141" t="b">
        <f t="shared" si="3"/>
        <v>1</v>
      </c>
      <c r="P31" s="357"/>
      <c r="S31" s="182">
        <f t="shared" si="25"/>
        <v>0</v>
      </c>
      <c r="T31" s="183" t="s">
        <v>76</v>
      </c>
      <c r="U31" s="184">
        <f t="shared" si="26"/>
        <v>0</v>
      </c>
      <c r="V31" s="183" t="s">
        <v>77</v>
      </c>
      <c r="W31" s="184">
        <f t="shared" si="27"/>
        <v>0</v>
      </c>
      <c r="X31" s="183" t="s">
        <v>78</v>
      </c>
      <c r="Y31" s="184">
        <f t="shared" si="28"/>
        <v>0</v>
      </c>
      <c r="Z31" s="183" t="s">
        <v>79</v>
      </c>
      <c r="AA31" s="185">
        <f t="shared" si="29"/>
        <v>0</v>
      </c>
      <c r="AB31" s="42">
        <f t="shared" si="14"/>
        <v>0</v>
      </c>
      <c r="AC31" s="186">
        <f t="shared" si="30"/>
        <v>0</v>
      </c>
      <c r="AD31" s="184">
        <f t="shared" si="31"/>
        <v>0</v>
      </c>
      <c r="AE31" s="184">
        <f t="shared" si="32"/>
        <v>0</v>
      </c>
      <c r="AF31" s="184">
        <f t="shared" si="33"/>
        <v>0</v>
      </c>
      <c r="AG31" s="185">
        <f t="shared" si="34"/>
        <v>0</v>
      </c>
      <c r="AI31" s="187">
        <f t="shared" si="35"/>
        <v>0</v>
      </c>
      <c r="AJ31" s="188">
        <f t="shared" si="35"/>
        <v>0</v>
      </c>
      <c r="AK31" s="188">
        <f t="shared" si="35"/>
        <v>0</v>
      </c>
      <c r="AL31" s="188">
        <f t="shared" si="35"/>
        <v>0</v>
      </c>
      <c r="AM31" s="189">
        <f t="shared" si="36"/>
        <v>0</v>
      </c>
      <c r="AN31" s="48"/>
    </row>
    <row r="32" spans="1:40" s="4" customFormat="1" ht="14.25" customHeight="1">
      <c r="A32" s="4" t="s">
        <v>90</v>
      </c>
      <c r="B32" s="143"/>
      <c r="C32" s="137" t="s">
        <v>82</v>
      </c>
      <c r="D32" s="138"/>
      <c r="E32" s="137">
        <v>12</v>
      </c>
      <c r="F32" s="139">
        <v>0</v>
      </c>
      <c r="G32" s="137">
        <v>12</v>
      </c>
      <c r="H32" s="139">
        <v>0</v>
      </c>
      <c r="I32" s="137">
        <v>12</v>
      </c>
      <c r="J32" s="139">
        <v>0</v>
      </c>
      <c r="K32" s="137">
        <v>12</v>
      </c>
      <c r="L32" s="139">
        <v>0</v>
      </c>
      <c r="M32" s="145">
        <f t="shared" si="24"/>
        <v>48</v>
      </c>
      <c r="N32" s="146">
        <f t="shared" si="24"/>
        <v>0</v>
      </c>
      <c r="O32" s="141" t="b">
        <f t="shared" si="3"/>
        <v>1</v>
      </c>
      <c r="P32" s="357"/>
      <c r="S32" s="182">
        <f t="shared" si="25"/>
        <v>0</v>
      </c>
      <c r="T32" s="183" t="s">
        <v>76</v>
      </c>
      <c r="U32" s="184">
        <f t="shared" si="26"/>
        <v>0</v>
      </c>
      <c r="V32" s="183" t="s">
        <v>77</v>
      </c>
      <c r="W32" s="184">
        <f t="shared" si="27"/>
        <v>0</v>
      </c>
      <c r="X32" s="183" t="s">
        <v>78</v>
      </c>
      <c r="Y32" s="184">
        <f t="shared" si="28"/>
        <v>0</v>
      </c>
      <c r="Z32" s="183" t="s">
        <v>79</v>
      </c>
      <c r="AA32" s="185">
        <f t="shared" si="29"/>
        <v>0</v>
      </c>
      <c r="AB32" s="42">
        <f t="shared" si="14"/>
        <v>0</v>
      </c>
      <c r="AC32" s="186">
        <f t="shared" si="30"/>
        <v>0</v>
      </c>
      <c r="AD32" s="184">
        <f t="shared" si="31"/>
        <v>0</v>
      </c>
      <c r="AE32" s="184">
        <f t="shared" si="32"/>
        <v>0</v>
      </c>
      <c r="AF32" s="184">
        <f t="shared" si="33"/>
        <v>0</v>
      </c>
      <c r="AG32" s="185">
        <f t="shared" si="34"/>
        <v>0</v>
      </c>
      <c r="AI32" s="187">
        <f t="shared" si="35"/>
        <v>0</v>
      </c>
      <c r="AJ32" s="188">
        <f t="shared" si="35"/>
        <v>0</v>
      </c>
      <c r="AK32" s="188">
        <f t="shared" si="35"/>
        <v>0</v>
      </c>
      <c r="AL32" s="188">
        <f t="shared" si="35"/>
        <v>0</v>
      </c>
      <c r="AM32" s="189">
        <f t="shared" si="36"/>
        <v>0</v>
      </c>
      <c r="AN32" s="48"/>
    </row>
    <row r="33" spans="1:40" s="4" customFormat="1" ht="14.25" customHeight="1">
      <c r="A33" s="4" t="s">
        <v>90</v>
      </c>
      <c r="B33" s="143"/>
      <c r="C33" s="137" t="s">
        <v>100</v>
      </c>
      <c r="D33" s="138"/>
      <c r="E33" s="137">
        <v>1</v>
      </c>
      <c r="F33" s="139">
        <v>0</v>
      </c>
      <c r="G33" s="137"/>
      <c r="H33" s="139">
        <v>0</v>
      </c>
      <c r="I33" s="137"/>
      <c r="J33" s="139">
        <v>0</v>
      </c>
      <c r="K33" s="137"/>
      <c r="L33" s="139">
        <v>0</v>
      </c>
      <c r="M33" s="145">
        <f t="shared" si="24"/>
        <v>1</v>
      </c>
      <c r="N33" s="146">
        <f t="shared" si="24"/>
        <v>0</v>
      </c>
      <c r="O33" s="141" t="b">
        <f t="shared" si="3"/>
        <v>1</v>
      </c>
      <c r="P33" s="357"/>
      <c r="S33" s="182">
        <f t="shared" si="25"/>
        <v>0</v>
      </c>
      <c r="T33" s="183" t="s">
        <v>76</v>
      </c>
      <c r="U33" s="184">
        <f t="shared" si="26"/>
        <v>0</v>
      </c>
      <c r="V33" s="183" t="s">
        <v>77</v>
      </c>
      <c r="W33" s="184">
        <f t="shared" si="27"/>
        <v>0</v>
      </c>
      <c r="X33" s="183" t="s">
        <v>78</v>
      </c>
      <c r="Y33" s="184">
        <f t="shared" si="28"/>
        <v>0</v>
      </c>
      <c r="Z33" s="183" t="s">
        <v>79</v>
      </c>
      <c r="AA33" s="185">
        <f t="shared" si="29"/>
        <v>0</v>
      </c>
      <c r="AB33" s="42">
        <f t="shared" si="14"/>
        <v>0</v>
      </c>
      <c r="AC33" s="186">
        <f t="shared" si="30"/>
        <v>0</v>
      </c>
      <c r="AD33" s="184">
        <f t="shared" si="31"/>
        <v>0</v>
      </c>
      <c r="AE33" s="184">
        <f t="shared" si="32"/>
        <v>0</v>
      </c>
      <c r="AF33" s="184">
        <f t="shared" si="33"/>
        <v>0</v>
      </c>
      <c r="AG33" s="185">
        <f t="shared" si="34"/>
        <v>0</v>
      </c>
      <c r="AI33" s="187">
        <f t="shared" si="35"/>
        <v>0</v>
      </c>
      <c r="AJ33" s="188">
        <f t="shared" si="35"/>
        <v>0</v>
      </c>
      <c r="AK33" s="188">
        <f t="shared" si="35"/>
        <v>0</v>
      </c>
      <c r="AL33" s="188">
        <f t="shared" si="35"/>
        <v>0</v>
      </c>
      <c r="AM33" s="189">
        <f t="shared" si="36"/>
        <v>0</v>
      </c>
      <c r="AN33" s="48"/>
    </row>
    <row r="34" spans="1:40" s="4" customFormat="1" ht="14.25" customHeight="1">
      <c r="A34" s="4" t="s">
        <v>90</v>
      </c>
      <c r="B34" s="147"/>
      <c r="C34" s="137" t="s">
        <v>82</v>
      </c>
      <c r="D34" s="138"/>
      <c r="E34" s="137">
        <v>12</v>
      </c>
      <c r="F34" s="139">
        <f t="shared" ref="F34:F35" si="37">E34*D34</f>
        <v>0</v>
      </c>
      <c r="G34" s="137">
        <v>12</v>
      </c>
      <c r="H34" s="140">
        <f>D34*$H$5*G34</f>
        <v>0</v>
      </c>
      <c r="I34" s="137">
        <v>12</v>
      </c>
      <c r="J34" s="139">
        <f>D34*$H$5*$J$5*I34</f>
        <v>0</v>
      </c>
      <c r="K34" s="137">
        <v>4</v>
      </c>
      <c r="L34" s="144">
        <f>D34*$H$5*$J$5*$L$5*K34</f>
        <v>0</v>
      </c>
      <c r="M34" s="145">
        <f t="shared" si="24"/>
        <v>40</v>
      </c>
      <c r="N34" s="146">
        <f t="shared" si="24"/>
        <v>0</v>
      </c>
      <c r="O34" s="141" t="b">
        <f t="shared" si="3"/>
        <v>1</v>
      </c>
      <c r="P34" s="149"/>
      <c r="S34" s="182">
        <f t="shared" si="25"/>
        <v>0</v>
      </c>
      <c r="T34" s="183" t="s">
        <v>76</v>
      </c>
      <c r="U34" s="184">
        <f t="shared" si="26"/>
        <v>0</v>
      </c>
      <c r="V34" s="183" t="s">
        <v>77</v>
      </c>
      <c r="W34" s="184">
        <f t="shared" si="27"/>
        <v>0</v>
      </c>
      <c r="X34" s="183" t="s">
        <v>78</v>
      </c>
      <c r="Y34" s="184">
        <f t="shared" si="28"/>
        <v>0</v>
      </c>
      <c r="Z34" s="183" t="s">
        <v>79</v>
      </c>
      <c r="AA34" s="185">
        <f t="shared" si="29"/>
        <v>0</v>
      </c>
      <c r="AB34" s="42">
        <f t="shared" si="14"/>
        <v>0</v>
      </c>
      <c r="AC34" s="186">
        <f t="shared" si="30"/>
        <v>0</v>
      </c>
      <c r="AD34" s="184">
        <f t="shared" si="31"/>
        <v>0</v>
      </c>
      <c r="AE34" s="184">
        <f t="shared" si="32"/>
        <v>0</v>
      </c>
      <c r="AF34" s="184">
        <f t="shared" si="33"/>
        <v>0</v>
      </c>
      <c r="AG34" s="185">
        <f t="shared" si="34"/>
        <v>0</v>
      </c>
      <c r="AI34" s="187">
        <f t="shared" si="35"/>
        <v>0</v>
      </c>
      <c r="AJ34" s="188">
        <f t="shared" si="35"/>
        <v>0</v>
      </c>
      <c r="AK34" s="188">
        <f t="shared" si="35"/>
        <v>0</v>
      </c>
      <c r="AL34" s="188">
        <f t="shared" si="35"/>
        <v>0</v>
      </c>
      <c r="AM34" s="189">
        <f t="shared" si="36"/>
        <v>0</v>
      </c>
      <c r="AN34" s="48"/>
    </row>
    <row r="35" spans="1:40" s="4" customFormat="1" ht="14.25" customHeight="1">
      <c r="A35" s="4" t="s">
        <v>90</v>
      </c>
      <c r="B35" s="143"/>
      <c r="C35" s="137" t="s">
        <v>82</v>
      </c>
      <c r="D35" s="138"/>
      <c r="E35" s="137">
        <v>12</v>
      </c>
      <c r="F35" s="139">
        <f t="shared" si="37"/>
        <v>0</v>
      </c>
      <c r="G35" s="137">
        <v>12</v>
      </c>
      <c r="H35" s="140">
        <f>D35*$H$5*G35</f>
        <v>0</v>
      </c>
      <c r="I35" s="137">
        <v>12</v>
      </c>
      <c r="J35" s="139">
        <f>D35*$H$5*$J$5*I35</f>
        <v>0</v>
      </c>
      <c r="K35" s="137">
        <v>4</v>
      </c>
      <c r="L35" s="144">
        <f>D35*$H$5*$J$5*$L$5*K35</f>
        <v>0</v>
      </c>
      <c r="M35" s="145">
        <f t="shared" si="24"/>
        <v>40</v>
      </c>
      <c r="N35" s="146">
        <f t="shared" si="24"/>
        <v>0</v>
      </c>
      <c r="O35" s="141" t="b">
        <f t="shared" si="3"/>
        <v>1</v>
      </c>
      <c r="P35" s="149"/>
      <c r="S35" s="182">
        <f t="shared" si="25"/>
        <v>0</v>
      </c>
      <c r="T35" s="183" t="s">
        <v>76</v>
      </c>
      <c r="U35" s="184">
        <f t="shared" si="26"/>
        <v>0</v>
      </c>
      <c r="V35" s="183" t="s">
        <v>77</v>
      </c>
      <c r="W35" s="184">
        <f t="shared" si="27"/>
        <v>0</v>
      </c>
      <c r="X35" s="183" t="s">
        <v>78</v>
      </c>
      <c r="Y35" s="184">
        <f t="shared" si="28"/>
        <v>0</v>
      </c>
      <c r="Z35" s="183" t="s">
        <v>79</v>
      </c>
      <c r="AA35" s="185">
        <f t="shared" si="29"/>
        <v>0</v>
      </c>
      <c r="AB35" s="42">
        <f t="shared" si="14"/>
        <v>0</v>
      </c>
      <c r="AC35" s="186">
        <f t="shared" si="30"/>
        <v>0</v>
      </c>
      <c r="AD35" s="184">
        <f t="shared" si="31"/>
        <v>0</v>
      </c>
      <c r="AE35" s="184">
        <f t="shared" si="32"/>
        <v>0</v>
      </c>
      <c r="AF35" s="184">
        <f t="shared" si="33"/>
        <v>0</v>
      </c>
      <c r="AG35" s="185">
        <f t="shared" si="34"/>
        <v>0</v>
      </c>
      <c r="AI35" s="187">
        <f t="shared" si="35"/>
        <v>0</v>
      </c>
      <c r="AJ35" s="188">
        <f t="shared" si="35"/>
        <v>0</v>
      </c>
      <c r="AK35" s="188">
        <f t="shared" si="35"/>
        <v>0</v>
      </c>
      <c r="AL35" s="188">
        <f t="shared" si="35"/>
        <v>0</v>
      </c>
      <c r="AM35" s="189">
        <f t="shared" si="36"/>
        <v>0</v>
      </c>
      <c r="AN35" s="48"/>
    </row>
    <row r="36" spans="1:40" s="4" customFormat="1" ht="14.25" customHeight="1">
      <c r="A36" s="4" t="s">
        <v>90</v>
      </c>
      <c r="B36" s="143"/>
      <c r="C36" s="137" t="s">
        <v>82</v>
      </c>
      <c r="D36" s="138"/>
      <c r="E36" s="137">
        <v>12</v>
      </c>
      <c r="F36" s="139">
        <v>0</v>
      </c>
      <c r="G36" s="137">
        <v>12</v>
      </c>
      <c r="H36" s="139">
        <v>0</v>
      </c>
      <c r="I36" s="137">
        <v>12</v>
      </c>
      <c r="J36" s="139">
        <v>0</v>
      </c>
      <c r="K36" s="137">
        <v>4</v>
      </c>
      <c r="L36" s="139">
        <v>0</v>
      </c>
      <c r="M36" s="145">
        <f t="shared" si="24"/>
        <v>40</v>
      </c>
      <c r="N36" s="146">
        <f t="shared" si="24"/>
        <v>0</v>
      </c>
      <c r="O36" s="141" t="b">
        <f t="shared" si="3"/>
        <v>1</v>
      </c>
      <c r="P36" s="149"/>
      <c r="S36" s="182">
        <f t="shared" si="25"/>
        <v>0</v>
      </c>
      <c r="T36" s="183" t="s">
        <v>76</v>
      </c>
      <c r="U36" s="184">
        <f t="shared" si="26"/>
        <v>0</v>
      </c>
      <c r="V36" s="183" t="s">
        <v>77</v>
      </c>
      <c r="W36" s="184">
        <f t="shared" si="27"/>
        <v>0</v>
      </c>
      <c r="X36" s="183" t="s">
        <v>78</v>
      </c>
      <c r="Y36" s="184">
        <f t="shared" si="28"/>
        <v>0</v>
      </c>
      <c r="Z36" s="183" t="s">
        <v>79</v>
      </c>
      <c r="AA36" s="185">
        <f t="shared" si="29"/>
        <v>0</v>
      </c>
      <c r="AB36" s="42">
        <f t="shared" si="14"/>
        <v>0</v>
      </c>
      <c r="AC36" s="186">
        <f t="shared" si="30"/>
        <v>0</v>
      </c>
      <c r="AD36" s="184">
        <f t="shared" si="31"/>
        <v>0</v>
      </c>
      <c r="AE36" s="184">
        <f t="shared" si="32"/>
        <v>0</v>
      </c>
      <c r="AF36" s="184">
        <f t="shared" si="33"/>
        <v>0</v>
      </c>
      <c r="AG36" s="185">
        <f t="shared" si="34"/>
        <v>0</v>
      </c>
      <c r="AI36" s="187">
        <f t="shared" si="35"/>
        <v>0</v>
      </c>
      <c r="AJ36" s="188">
        <f t="shared" si="35"/>
        <v>0</v>
      </c>
      <c r="AK36" s="188">
        <f t="shared" si="35"/>
        <v>0</v>
      </c>
      <c r="AL36" s="188">
        <f t="shared" si="35"/>
        <v>0</v>
      </c>
      <c r="AM36" s="189">
        <f t="shared" si="36"/>
        <v>0</v>
      </c>
      <c r="AN36" s="48"/>
    </row>
    <row r="37" spans="1:40" s="4" customFormat="1" ht="14.25" customHeight="1">
      <c r="A37" s="4" t="s">
        <v>90</v>
      </c>
      <c r="B37" s="143"/>
      <c r="C37" s="137" t="s">
        <v>82</v>
      </c>
      <c r="D37" s="138"/>
      <c r="E37" s="137">
        <v>12</v>
      </c>
      <c r="F37" s="139">
        <v>0</v>
      </c>
      <c r="G37" s="137">
        <v>12</v>
      </c>
      <c r="H37" s="139">
        <v>0</v>
      </c>
      <c r="I37" s="137">
        <v>12</v>
      </c>
      <c r="J37" s="139">
        <v>0</v>
      </c>
      <c r="K37" s="137">
        <v>12</v>
      </c>
      <c r="L37" s="139">
        <v>0</v>
      </c>
      <c r="M37" s="145">
        <f t="shared" si="24"/>
        <v>48</v>
      </c>
      <c r="N37" s="146">
        <f t="shared" si="24"/>
        <v>0</v>
      </c>
      <c r="O37" s="141" t="b">
        <f t="shared" si="3"/>
        <v>1</v>
      </c>
      <c r="P37" s="149"/>
      <c r="S37" s="182">
        <f t="shared" si="25"/>
        <v>0</v>
      </c>
      <c r="T37" s="183" t="s">
        <v>76</v>
      </c>
      <c r="U37" s="184">
        <f t="shared" si="26"/>
        <v>0</v>
      </c>
      <c r="V37" s="183" t="s">
        <v>77</v>
      </c>
      <c r="W37" s="184">
        <f t="shared" si="27"/>
        <v>0</v>
      </c>
      <c r="X37" s="183" t="s">
        <v>78</v>
      </c>
      <c r="Y37" s="184">
        <f t="shared" si="28"/>
        <v>0</v>
      </c>
      <c r="Z37" s="183" t="s">
        <v>79</v>
      </c>
      <c r="AA37" s="185">
        <f t="shared" si="29"/>
        <v>0</v>
      </c>
      <c r="AB37" s="42">
        <f t="shared" si="14"/>
        <v>0</v>
      </c>
      <c r="AC37" s="186">
        <f t="shared" si="30"/>
        <v>0</v>
      </c>
      <c r="AD37" s="184">
        <f t="shared" si="31"/>
        <v>0</v>
      </c>
      <c r="AE37" s="184">
        <f t="shared" si="32"/>
        <v>0</v>
      </c>
      <c r="AF37" s="184">
        <f t="shared" si="33"/>
        <v>0</v>
      </c>
      <c r="AG37" s="185">
        <f t="shared" si="34"/>
        <v>0</v>
      </c>
      <c r="AI37" s="187">
        <f t="shared" si="35"/>
        <v>0</v>
      </c>
      <c r="AJ37" s="188">
        <f t="shared" si="35"/>
        <v>0</v>
      </c>
      <c r="AK37" s="188">
        <f t="shared" si="35"/>
        <v>0</v>
      </c>
      <c r="AL37" s="188">
        <f t="shared" si="35"/>
        <v>0</v>
      </c>
      <c r="AM37" s="189">
        <f t="shared" si="36"/>
        <v>0</v>
      </c>
      <c r="AN37" s="48"/>
    </row>
    <row r="38" spans="1:40" s="4" customFormat="1" ht="14.25" customHeight="1">
      <c r="B38" s="143" t="s">
        <v>99</v>
      </c>
      <c r="C38" s="137" t="s">
        <v>100</v>
      </c>
      <c r="D38" s="138"/>
      <c r="E38" s="137">
        <v>1</v>
      </c>
      <c r="F38" s="139">
        <v>0</v>
      </c>
      <c r="G38" s="137">
        <v>0</v>
      </c>
      <c r="H38" s="139">
        <v>0</v>
      </c>
      <c r="I38" s="137">
        <v>0</v>
      </c>
      <c r="J38" s="139">
        <v>0</v>
      </c>
      <c r="K38" s="137">
        <v>0</v>
      </c>
      <c r="L38" s="139">
        <v>0</v>
      </c>
      <c r="M38" s="145">
        <f t="shared" si="24"/>
        <v>1</v>
      </c>
      <c r="N38" s="146">
        <f t="shared" si="24"/>
        <v>0</v>
      </c>
      <c r="O38" s="141" t="b">
        <f t="shared" si="3"/>
        <v>1</v>
      </c>
      <c r="P38" s="149"/>
      <c r="S38" s="182">
        <f t="shared" si="25"/>
        <v>0</v>
      </c>
      <c r="T38" s="183" t="s">
        <v>76</v>
      </c>
      <c r="U38" s="184">
        <f t="shared" si="26"/>
        <v>0</v>
      </c>
      <c r="V38" s="183" t="s">
        <v>77</v>
      </c>
      <c r="W38" s="184">
        <f t="shared" si="27"/>
        <v>0</v>
      </c>
      <c r="X38" s="183" t="s">
        <v>78</v>
      </c>
      <c r="Y38" s="184">
        <f t="shared" si="28"/>
        <v>0</v>
      </c>
      <c r="Z38" s="183" t="s">
        <v>79</v>
      </c>
      <c r="AA38" s="185">
        <f t="shared" si="29"/>
        <v>0</v>
      </c>
      <c r="AB38" s="42">
        <f t="shared" si="14"/>
        <v>0</v>
      </c>
      <c r="AC38" s="186">
        <f t="shared" si="30"/>
        <v>0</v>
      </c>
      <c r="AD38" s="184">
        <f t="shared" si="31"/>
        <v>0</v>
      </c>
      <c r="AE38" s="184">
        <f t="shared" si="32"/>
        <v>0</v>
      </c>
      <c r="AF38" s="184">
        <f t="shared" si="33"/>
        <v>0</v>
      </c>
      <c r="AG38" s="185">
        <f t="shared" si="34"/>
        <v>0</v>
      </c>
      <c r="AI38" s="187">
        <f t="shared" si="35"/>
        <v>0</v>
      </c>
      <c r="AJ38" s="188">
        <f t="shared" si="35"/>
        <v>0</v>
      </c>
      <c r="AK38" s="188">
        <f t="shared" si="35"/>
        <v>0</v>
      </c>
      <c r="AL38" s="188">
        <f t="shared" si="35"/>
        <v>0</v>
      </c>
      <c r="AM38" s="189">
        <f t="shared" si="36"/>
        <v>0</v>
      </c>
      <c r="AN38" s="48"/>
    </row>
    <row r="39" spans="1:40" s="1" customFormat="1" ht="14.25" customHeight="1">
      <c r="B39" s="132" t="s">
        <v>102</v>
      </c>
      <c r="C39" s="125"/>
      <c r="D39" s="133"/>
      <c r="E39" s="125"/>
      <c r="F39" s="133">
        <f>SUM(F13:F38)</f>
        <v>35696604.160027005</v>
      </c>
      <c r="G39" s="138"/>
      <c r="H39" s="133">
        <f>SUM(H13:H38)</f>
        <v>8400</v>
      </c>
      <c r="I39" s="133"/>
      <c r="J39" s="133">
        <f>SUM(J13:J38)</f>
        <v>8820</v>
      </c>
      <c r="K39" s="133"/>
      <c r="L39" s="133">
        <f>SUM(L13:L38)</f>
        <v>9261</v>
      </c>
      <c r="M39" s="127"/>
      <c r="N39" s="133">
        <f>SUM(N13:N38)</f>
        <v>35723085.160027005</v>
      </c>
      <c r="O39" s="141" t="b">
        <f t="shared" si="3"/>
        <v>0</v>
      </c>
      <c r="P39" s="153">
        <f>SUM(P21:P36)</f>
        <v>0</v>
      </c>
      <c r="Q39" s="17"/>
      <c r="R39" s="17"/>
      <c r="S39" s="133">
        <f>SUM(S21:S38)</f>
        <v>35672604.160027005</v>
      </c>
      <c r="T39" s="183" t="s">
        <v>76</v>
      </c>
      <c r="U39" s="133">
        <f>SUM(U21:U38)</f>
        <v>0</v>
      </c>
      <c r="V39" s="183" t="s">
        <v>77</v>
      </c>
      <c r="W39" s="133">
        <f>SUM(W21:W38)</f>
        <v>0</v>
      </c>
      <c r="X39" s="183" t="s">
        <v>78</v>
      </c>
      <c r="Y39" s="133">
        <f>SUM(Y21:Y38)</f>
        <v>0</v>
      </c>
      <c r="Z39" s="183" t="s">
        <v>79</v>
      </c>
      <c r="AA39" s="133">
        <f>SUM(AA21:AA38)</f>
        <v>35672604.160027005</v>
      </c>
      <c r="AB39" s="42">
        <f t="shared" si="14"/>
        <v>50481</v>
      </c>
      <c r="AC39" s="133">
        <f>SUM(AC21:AC38)</f>
        <v>16363.579889920646</v>
      </c>
      <c r="AD39" s="133">
        <f>SUM(AD21:AD38)</f>
        <v>0</v>
      </c>
      <c r="AE39" s="133">
        <f>SUM(AE21:AE38)</f>
        <v>0</v>
      </c>
      <c r="AF39" s="133">
        <f>SUM(AF21:AF38)</f>
        <v>0</v>
      </c>
      <c r="AG39" s="133">
        <f>SUM(AG21:AG38)</f>
        <v>16363.579889920646</v>
      </c>
      <c r="AH39" s="17"/>
      <c r="AI39" s="133">
        <f>SUM(AI21:AI38)</f>
        <v>138321.3408094992</v>
      </c>
      <c r="AJ39" s="133">
        <f>SUM(AJ21:AJ38)-377</f>
        <v>-377</v>
      </c>
      <c r="AK39" s="133">
        <f>SUM(AK21:AK38)</f>
        <v>0</v>
      </c>
      <c r="AL39" s="133">
        <f>SUM(AL21:AL38)</f>
        <v>0</v>
      </c>
      <c r="AM39" s="133">
        <f>SUM(AM21:AM38)</f>
        <v>138321.3408094992</v>
      </c>
    </row>
    <row r="40" spans="1:40" s="4" customFormat="1" ht="14.25" customHeight="1">
      <c r="B40" s="143"/>
      <c r="C40" s="137"/>
      <c r="D40" s="138"/>
      <c r="E40" s="137"/>
      <c r="F40" s="139"/>
      <c r="G40" s="137"/>
      <c r="H40" s="139"/>
      <c r="I40" s="137"/>
      <c r="J40" s="139"/>
      <c r="K40" s="137"/>
      <c r="L40" s="139"/>
      <c r="M40" s="141"/>
      <c r="N40" s="138"/>
      <c r="O40" s="141" t="b">
        <f t="shared" si="3"/>
        <v>1</v>
      </c>
      <c r="P40" s="149"/>
      <c r="S40" s="352"/>
      <c r="T40" s="183" t="s">
        <v>76</v>
      </c>
      <c r="U40" s="353"/>
      <c r="V40" s="183" t="s">
        <v>77</v>
      </c>
      <c r="W40" s="353"/>
      <c r="X40" s="183" t="s">
        <v>78</v>
      </c>
      <c r="Y40" s="353"/>
      <c r="Z40" s="183" t="s">
        <v>79</v>
      </c>
      <c r="AA40" s="354"/>
      <c r="AB40" s="42">
        <f t="shared" si="14"/>
        <v>0</v>
      </c>
      <c r="AC40" s="186"/>
      <c r="AD40" s="184"/>
      <c r="AE40" s="184"/>
      <c r="AF40" s="184"/>
      <c r="AG40" s="185"/>
      <c r="AI40" s="187"/>
      <c r="AJ40" s="312"/>
      <c r="AK40" s="312"/>
      <c r="AL40" s="312"/>
      <c r="AM40" s="189"/>
    </row>
    <row r="41" spans="1:40" ht="14.25" customHeight="1">
      <c r="B41" s="132" t="s">
        <v>103</v>
      </c>
      <c r="C41" s="125"/>
      <c r="D41" s="133"/>
      <c r="E41" s="125"/>
      <c r="F41" s="133"/>
      <c r="G41" s="125"/>
      <c r="H41" s="133"/>
      <c r="I41" s="125"/>
      <c r="J41" s="133"/>
      <c r="K41" s="125"/>
      <c r="L41" s="133"/>
      <c r="M41" s="125"/>
      <c r="N41" s="133"/>
      <c r="O41" s="141" t="b">
        <f t="shared" si="3"/>
        <v>1</v>
      </c>
      <c r="P41" s="134"/>
      <c r="S41" s="132"/>
      <c r="T41" s="183" t="s">
        <v>76</v>
      </c>
      <c r="U41" s="132"/>
      <c r="V41" s="183" t="s">
        <v>77</v>
      </c>
      <c r="W41" s="132"/>
      <c r="X41" s="183" t="s">
        <v>78</v>
      </c>
      <c r="Y41" s="132"/>
      <c r="Z41" s="183" t="s">
        <v>79</v>
      </c>
      <c r="AA41" s="358"/>
      <c r="AB41" s="42">
        <f t="shared" si="14"/>
        <v>0</v>
      </c>
      <c r="AC41" s="359"/>
      <c r="AD41" s="360"/>
      <c r="AE41" s="360"/>
      <c r="AF41" s="360"/>
      <c r="AG41" s="361"/>
      <c r="AI41" s="331"/>
      <c r="AJ41" s="362"/>
      <c r="AK41" s="362"/>
      <c r="AL41" s="362"/>
      <c r="AM41" s="362"/>
    </row>
    <row r="42" spans="1:40" ht="14.25" customHeight="1">
      <c r="B42" s="150" t="s">
        <v>75</v>
      </c>
      <c r="C42" s="126"/>
      <c r="D42" s="135"/>
      <c r="E42" s="126"/>
      <c r="F42" s="135"/>
      <c r="G42" s="126"/>
      <c r="H42" s="135"/>
      <c r="I42" s="126"/>
      <c r="J42" s="135"/>
      <c r="K42" s="126"/>
      <c r="L42" s="135"/>
      <c r="M42" s="126"/>
      <c r="N42" s="135"/>
      <c r="O42" s="141" t="b">
        <f t="shared" si="3"/>
        <v>1</v>
      </c>
      <c r="P42" s="136"/>
      <c r="S42" s="150"/>
      <c r="T42" s="183" t="s">
        <v>76</v>
      </c>
      <c r="U42" s="150"/>
      <c r="V42" s="183" t="s">
        <v>77</v>
      </c>
      <c r="W42" s="150"/>
      <c r="X42" s="183" t="s">
        <v>78</v>
      </c>
      <c r="Y42" s="150"/>
      <c r="Z42" s="183" t="s">
        <v>79</v>
      </c>
      <c r="AA42" s="363"/>
      <c r="AB42" s="42">
        <f t="shared" si="14"/>
        <v>0</v>
      </c>
      <c r="AC42" s="364"/>
      <c r="AD42" s="365"/>
      <c r="AE42" s="365"/>
      <c r="AF42" s="365"/>
      <c r="AG42" s="366"/>
      <c r="AI42" s="367"/>
      <c r="AJ42" s="368"/>
      <c r="AK42" s="368"/>
      <c r="AL42" s="368"/>
      <c r="AM42" s="368"/>
    </row>
    <row r="43" spans="1:40" s="4" customFormat="1" ht="18.5">
      <c r="B43" s="150" t="s">
        <v>104</v>
      </c>
      <c r="C43" s="126"/>
      <c r="D43" s="135"/>
      <c r="E43" s="126"/>
      <c r="F43" s="135"/>
      <c r="G43" s="126"/>
      <c r="H43" s="135"/>
      <c r="I43" s="126"/>
      <c r="J43" s="135"/>
      <c r="K43" s="126"/>
      <c r="L43" s="135"/>
      <c r="M43" s="126"/>
      <c r="N43" s="135"/>
      <c r="O43" s="141" t="b">
        <f t="shared" si="3"/>
        <v>1</v>
      </c>
      <c r="P43" s="369"/>
      <c r="S43" s="150"/>
      <c r="T43" s="183" t="s">
        <v>76</v>
      </c>
      <c r="U43" s="150"/>
      <c r="V43" s="183" t="s">
        <v>77</v>
      </c>
      <c r="W43" s="150"/>
      <c r="X43" s="183" t="s">
        <v>78</v>
      </c>
      <c r="Y43" s="150"/>
      <c r="Z43" s="183" t="s">
        <v>79</v>
      </c>
      <c r="AA43" s="363"/>
      <c r="AB43" s="42">
        <f t="shared" si="14"/>
        <v>0</v>
      </c>
      <c r="AC43" s="364"/>
      <c r="AD43" s="365"/>
      <c r="AE43" s="365"/>
      <c r="AF43" s="365"/>
      <c r="AG43" s="366"/>
      <c r="AI43" s="367"/>
      <c r="AJ43" s="368"/>
      <c r="AK43" s="368"/>
      <c r="AL43" s="368"/>
      <c r="AM43" s="368"/>
    </row>
    <row r="44" spans="1:40" s="4" customFormat="1" ht="18.5">
      <c r="B44" s="151" t="s">
        <v>105</v>
      </c>
      <c r="C44" s="137" t="s">
        <v>106</v>
      </c>
      <c r="D44" s="138"/>
      <c r="E44" s="137"/>
      <c r="F44" s="139">
        <f>E44*D44</f>
        <v>0</v>
      </c>
      <c r="G44" s="152"/>
      <c r="H44" s="144">
        <f>G44*D44*($H$5)^1</f>
        <v>0</v>
      </c>
      <c r="I44" s="152"/>
      <c r="J44" s="144">
        <f>D44*I44*($J$5)^2</f>
        <v>0</v>
      </c>
      <c r="K44" s="152"/>
      <c r="L44" s="144">
        <f>D44*K44*($L$5)^3</f>
        <v>0</v>
      </c>
      <c r="M44" s="145">
        <f>+E44+G44+I44+K44</f>
        <v>0</v>
      </c>
      <c r="N44" s="146">
        <f>L44+J44+H44+F44</f>
        <v>0</v>
      </c>
      <c r="O44" s="141" t="b">
        <f t="shared" si="3"/>
        <v>1</v>
      </c>
      <c r="P44" s="370"/>
      <c r="S44" s="182">
        <f>F44</f>
        <v>0</v>
      </c>
      <c r="T44" s="183" t="s">
        <v>76</v>
      </c>
      <c r="U44" s="184">
        <f>H44</f>
        <v>0</v>
      </c>
      <c r="V44" s="183" t="s">
        <v>77</v>
      </c>
      <c r="W44" s="184">
        <f>J44</f>
        <v>0</v>
      </c>
      <c r="X44" s="183" t="s">
        <v>78</v>
      </c>
      <c r="Y44" s="184">
        <f>L44</f>
        <v>0</v>
      </c>
      <c r="Z44" s="183" t="s">
        <v>79</v>
      </c>
      <c r="AA44" s="185">
        <f>SUM(S44:Y44)</f>
        <v>0</v>
      </c>
      <c r="AB44" s="42">
        <f t="shared" si="14"/>
        <v>0</v>
      </c>
      <c r="AC44" s="186">
        <f>S44/$AE$4</f>
        <v>0</v>
      </c>
      <c r="AD44" s="184">
        <f>U44/$AE$4</f>
        <v>0</v>
      </c>
      <c r="AE44" s="184">
        <f>W44/$AE$4</f>
        <v>0</v>
      </c>
      <c r="AF44" s="184">
        <f>Y44/$AE$4</f>
        <v>0</v>
      </c>
      <c r="AG44" s="185">
        <f>SUM(AC44:AF44)</f>
        <v>0</v>
      </c>
      <c r="AI44" s="187">
        <f t="shared" ref="AI44:AL47" si="38">AC44*$AK$4</f>
        <v>0</v>
      </c>
      <c r="AJ44" s="188">
        <f t="shared" si="38"/>
        <v>0</v>
      </c>
      <c r="AK44" s="188">
        <f t="shared" si="38"/>
        <v>0</v>
      </c>
      <c r="AL44" s="188">
        <f t="shared" si="38"/>
        <v>0</v>
      </c>
      <c r="AM44" s="189">
        <f>SUM(AI44:AL44)</f>
        <v>0</v>
      </c>
    </row>
    <row r="45" spans="1:40" s="4" customFormat="1" ht="18.5">
      <c r="B45" s="151" t="s">
        <v>107</v>
      </c>
      <c r="C45" s="137" t="s">
        <v>106</v>
      </c>
      <c r="D45" s="138">
        <f>350*2200</f>
        <v>770000</v>
      </c>
      <c r="E45" s="137"/>
      <c r="F45" s="139">
        <f>E45*D45</f>
        <v>0</v>
      </c>
      <c r="G45" s="152"/>
      <c r="H45" s="144">
        <f>G45*D45*($H$5)^1</f>
        <v>0</v>
      </c>
      <c r="I45" s="152"/>
      <c r="J45" s="144">
        <f>D45*I45*($J$5)^2</f>
        <v>0</v>
      </c>
      <c r="K45" s="152"/>
      <c r="L45" s="144">
        <f>D45*K45*($L$5)^3</f>
        <v>0</v>
      </c>
      <c r="M45" s="145">
        <f>+E45+G45+I45+K45</f>
        <v>0</v>
      </c>
      <c r="N45" s="146">
        <f>L45+J45+H45+F45</f>
        <v>0</v>
      </c>
      <c r="O45" s="141" t="b">
        <f t="shared" si="3"/>
        <v>1</v>
      </c>
      <c r="P45" s="370"/>
      <c r="S45" s="182">
        <f>F45</f>
        <v>0</v>
      </c>
      <c r="T45" s="183" t="s">
        <v>76</v>
      </c>
      <c r="U45" s="184">
        <f>H45</f>
        <v>0</v>
      </c>
      <c r="V45" s="183" t="s">
        <v>77</v>
      </c>
      <c r="W45" s="184">
        <f>J45</f>
        <v>0</v>
      </c>
      <c r="X45" s="183" t="s">
        <v>78</v>
      </c>
      <c r="Y45" s="184">
        <f>L45</f>
        <v>0</v>
      </c>
      <c r="Z45" s="183" t="s">
        <v>79</v>
      </c>
      <c r="AA45" s="185">
        <f>SUM(S45:Y45)</f>
        <v>0</v>
      </c>
      <c r="AB45" s="42">
        <f t="shared" si="14"/>
        <v>0</v>
      </c>
      <c r="AC45" s="186">
        <f>S45/$AE$4</f>
        <v>0</v>
      </c>
      <c r="AD45" s="184">
        <f>U45/$AE$4</f>
        <v>0</v>
      </c>
      <c r="AE45" s="184">
        <f>W45/$AE$4</f>
        <v>0</v>
      </c>
      <c r="AF45" s="184">
        <f>Y45/$AE$4</f>
        <v>0</v>
      </c>
      <c r="AG45" s="185">
        <f>SUM(AC45:AF45)</f>
        <v>0</v>
      </c>
      <c r="AI45" s="187">
        <f t="shared" si="38"/>
        <v>0</v>
      </c>
      <c r="AJ45" s="188">
        <f t="shared" si="38"/>
        <v>0</v>
      </c>
      <c r="AK45" s="188">
        <f t="shared" si="38"/>
        <v>0</v>
      </c>
      <c r="AL45" s="188">
        <f t="shared" si="38"/>
        <v>0</v>
      </c>
      <c r="AM45" s="189">
        <f>SUM(AI45:AL45)</f>
        <v>0</v>
      </c>
      <c r="AN45" s="48"/>
    </row>
    <row r="46" spans="1:40" s="4" customFormat="1" ht="18.5">
      <c r="B46" s="151" t="s">
        <v>108</v>
      </c>
      <c r="C46" s="137" t="s">
        <v>106</v>
      </c>
      <c r="D46" s="138">
        <f>350*2200</f>
        <v>770000</v>
      </c>
      <c r="E46" s="137"/>
      <c r="F46" s="139">
        <f>E46*D46</f>
        <v>0</v>
      </c>
      <c r="G46" s="152"/>
      <c r="H46" s="144">
        <f>G46*D46*($H$5)^1</f>
        <v>0</v>
      </c>
      <c r="I46" s="152"/>
      <c r="J46" s="144">
        <f>D46*I46*($J$5)^2</f>
        <v>0</v>
      </c>
      <c r="K46" s="152"/>
      <c r="L46" s="144">
        <f>D46*K46*($L$5)^3</f>
        <v>0</v>
      </c>
      <c r="M46" s="145">
        <f>+E46+G46+I46+K46</f>
        <v>0</v>
      </c>
      <c r="N46" s="146">
        <f>L46+J46+H46+F46</f>
        <v>0</v>
      </c>
      <c r="O46" s="141" t="b">
        <f t="shared" si="3"/>
        <v>1</v>
      </c>
      <c r="P46" s="370"/>
      <c r="S46" s="182">
        <f>F46</f>
        <v>0</v>
      </c>
      <c r="T46" s="183" t="s">
        <v>76</v>
      </c>
      <c r="U46" s="184">
        <f>H46</f>
        <v>0</v>
      </c>
      <c r="V46" s="183" t="s">
        <v>77</v>
      </c>
      <c r="W46" s="184">
        <f>J46</f>
        <v>0</v>
      </c>
      <c r="X46" s="183" t="s">
        <v>78</v>
      </c>
      <c r="Y46" s="184">
        <f>L46</f>
        <v>0</v>
      </c>
      <c r="Z46" s="183" t="s">
        <v>79</v>
      </c>
      <c r="AA46" s="185">
        <f>SUM(S46:Y46)</f>
        <v>0</v>
      </c>
      <c r="AB46" s="42">
        <f t="shared" si="14"/>
        <v>0</v>
      </c>
      <c r="AC46" s="186">
        <f>S46/$AE$4</f>
        <v>0</v>
      </c>
      <c r="AD46" s="184">
        <f>U46/$AE$4</f>
        <v>0</v>
      </c>
      <c r="AE46" s="184">
        <f>W46/$AE$4</f>
        <v>0</v>
      </c>
      <c r="AF46" s="184">
        <f>Y46/$AE$4</f>
        <v>0</v>
      </c>
      <c r="AG46" s="185">
        <f>SUM(AC46:AF46)</f>
        <v>0</v>
      </c>
      <c r="AI46" s="187">
        <f t="shared" si="38"/>
        <v>0</v>
      </c>
      <c r="AJ46" s="188">
        <f t="shared" si="38"/>
        <v>0</v>
      </c>
      <c r="AK46" s="188">
        <f t="shared" si="38"/>
        <v>0</v>
      </c>
      <c r="AL46" s="188">
        <f t="shared" si="38"/>
        <v>0</v>
      </c>
      <c r="AM46" s="189">
        <f>SUM(AI46:AL46)</f>
        <v>0</v>
      </c>
    </row>
    <row r="47" spans="1:40" s="4" customFormat="1" ht="15.75" customHeight="1">
      <c r="B47" s="151" t="s">
        <v>109</v>
      </c>
      <c r="C47" s="137" t="s">
        <v>106</v>
      </c>
      <c r="D47" s="138">
        <f>350*2200</f>
        <v>770000</v>
      </c>
      <c r="E47" s="137"/>
      <c r="F47" s="139">
        <f>E47*D47</f>
        <v>0</v>
      </c>
      <c r="G47" s="152"/>
      <c r="H47" s="144">
        <f>G47*D47*($H$5)^1</f>
        <v>0</v>
      </c>
      <c r="I47" s="152"/>
      <c r="J47" s="144">
        <f>D47*I47*($J$5)^2</f>
        <v>0</v>
      </c>
      <c r="K47" s="152"/>
      <c r="L47" s="144">
        <f>D47*K47*($L$5)^3</f>
        <v>0</v>
      </c>
      <c r="M47" s="145">
        <f>+E47+G47+I47+K47</f>
        <v>0</v>
      </c>
      <c r="N47" s="146">
        <f>L47+J47+H47+F47</f>
        <v>0</v>
      </c>
      <c r="O47" s="141" t="b">
        <f t="shared" si="3"/>
        <v>1</v>
      </c>
      <c r="P47" s="370"/>
      <c r="S47" s="182">
        <f>F47</f>
        <v>0</v>
      </c>
      <c r="T47" s="183" t="s">
        <v>76</v>
      </c>
      <c r="U47" s="184">
        <f>H47</f>
        <v>0</v>
      </c>
      <c r="V47" s="183" t="s">
        <v>77</v>
      </c>
      <c r="W47" s="184">
        <f>J47</f>
        <v>0</v>
      </c>
      <c r="X47" s="183" t="s">
        <v>78</v>
      </c>
      <c r="Y47" s="184">
        <f>L47</f>
        <v>0</v>
      </c>
      <c r="Z47" s="183" t="s">
        <v>79</v>
      </c>
      <c r="AA47" s="185">
        <f>SUM(S47:Y47)</f>
        <v>0</v>
      </c>
      <c r="AB47" s="42">
        <f t="shared" si="14"/>
        <v>0</v>
      </c>
      <c r="AC47" s="186">
        <f>S47/$AE$4</f>
        <v>0</v>
      </c>
      <c r="AD47" s="184">
        <f>U47/$AE$4</f>
        <v>0</v>
      </c>
      <c r="AE47" s="184">
        <f>W47/$AE$4</f>
        <v>0</v>
      </c>
      <c r="AF47" s="184">
        <f>Y47/$AE$4</f>
        <v>0</v>
      </c>
      <c r="AG47" s="185">
        <f>SUM(AC47:AF47)</f>
        <v>0</v>
      </c>
      <c r="AI47" s="187">
        <f t="shared" si="38"/>
        <v>0</v>
      </c>
      <c r="AJ47" s="188">
        <f t="shared" si="38"/>
        <v>0</v>
      </c>
      <c r="AK47" s="188">
        <f t="shared" si="38"/>
        <v>0</v>
      </c>
      <c r="AL47" s="188">
        <f t="shared" si="38"/>
        <v>0</v>
      </c>
      <c r="AM47" s="189">
        <f>SUM(AI47:AL47)</f>
        <v>0</v>
      </c>
    </row>
    <row r="48" spans="1:40" s="4" customFormat="1" ht="15.75" customHeight="1">
      <c r="B48" s="150" t="s">
        <v>110</v>
      </c>
      <c r="C48" s="150"/>
      <c r="D48" s="365"/>
      <c r="E48" s="150"/>
      <c r="F48" s="365"/>
      <c r="G48" s="150"/>
      <c r="H48" s="365"/>
      <c r="I48" s="150"/>
      <c r="J48" s="365"/>
      <c r="K48" s="150"/>
      <c r="L48" s="365"/>
      <c r="M48" s="150"/>
      <c r="N48" s="365"/>
      <c r="O48" s="141" t="b">
        <f t="shared" si="3"/>
        <v>1</v>
      </c>
      <c r="P48" s="371"/>
      <c r="S48" s="150"/>
      <c r="T48" s="183" t="s">
        <v>76</v>
      </c>
      <c r="U48" s="150"/>
      <c r="V48" s="183" t="s">
        <v>77</v>
      </c>
      <c r="W48" s="150"/>
      <c r="X48" s="183" t="s">
        <v>78</v>
      </c>
      <c r="Y48" s="150"/>
      <c r="Z48" s="183" t="s">
        <v>79</v>
      </c>
      <c r="AA48" s="363"/>
      <c r="AB48" s="42">
        <f t="shared" si="14"/>
        <v>0</v>
      </c>
      <c r="AC48" s="364"/>
      <c r="AD48" s="365"/>
      <c r="AE48" s="365"/>
      <c r="AF48" s="365"/>
      <c r="AG48" s="366"/>
      <c r="AI48" s="367"/>
      <c r="AJ48" s="368"/>
      <c r="AK48" s="368"/>
      <c r="AL48" s="368"/>
      <c r="AM48" s="368"/>
    </row>
    <row r="49" spans="2:39" s="4" customFormat="1" ht="18.5">
      <c r="B49" s="372"/>
      <c r="C49" s="137" t="s">
        <v>106</v>
      </c>
      <c r="D49" s="138">
        <f>350*2200</f>
        <v>770000</v>
      </c>
      <c r="E49" s="137"/>
      <c r="F49" s="139">
        <f t="shared" ref="F49:F54" si="39">E49*D49</f>
        <v>0</v>
      </c>
      <c r="G49" s="152">
        <v>15</v>
      </c>
      <c r="H49" s="144">
        <f t="shared" ref="H49:H54" si="40">G49*D49*($H$5)^1</f>
        <v>12127500</v>
      </c>
      <c r="I49" s="152"/>
      <c r="J49" s="144">
        <f t="shared" ref="J49:J54" si="41">D49*I49*($J$5)^2</f>
        <v>0</v>
      </c>
      <c r="K49" s="152"/>
      <c r="L49" s="144">
        <f t="shared" ref="L49:L54" si="42">F49*K49*($L$5)^3</f>
        <v>0</v>
      </c>
      <c r="M49" s="145">
        <f t="shared" ref="M49:M54" si="43">+E49+G49+I49+K49</f>
        <v>15</v>
      </c>
      <c r="N49" s="146">
        <f t="shared" ref="N49:N54" si="44">L49+J49+H49+F49</f>
        <v>12127500</v>
      </c>
      <c r="O49" s="141" t="b">
        <f t="shared" si="3"/>
        <v>1</v>
      </c>
      <c r="P49" s="370"/>
      <c r="S49" s="182">
        <f t="shared" ref="S49:S54" si="45">F49</f>
        <v>0</v>
      </c>
      <c r="T49" s="183" t="s">
        <v>76</v>
      </c>
      <c r="U49" s="184">
        <f t="shared" ref="U49:U54" si="46">H49</f>
        <v>12127500</v>
      </c>
      <c r="V49" s="183" t="s">
        <v>77</v>
      </c>
      <c r="W49" s="184">
        <f t="shared" ref="W49:W54" si="47">J49</f>
        <v>0</v>
      </c>
      <c r="X49" s="183" t="s">
        <v>78</v>
      </c>
      <c r="Y49" s="184">
        <f t="shared" ref="Y49:Y54" si="48">L49</f>
        <v>0</v>
      </c>
      <c r="Z49" s="183" t="s">
        <v>79</v>
      </c>
      <c r="AA49" s="185">
        <f t="shared" ref="AA49:AA54" si="49">SUM(S49:Y49)</f>
        <v>12127500</v>
      </c>
      <c r="AB49" s="42">
        <f t="shared" si="14"/>
        <v>0</v>
      </c>
      <c r="AC49" s="186">
        <f t="shared" ref="AC49:AC54" si="50">S49/$AE$4</f>
        <v>0</v>
      </c>
      <c r="AD49" s="184">
        <f t="shared" ref="AD49:AD54" si="51">U49/$AE$4</f>
        <v>5563.0733944954127</v>
      </c>
      <c r="AE49" s="184">
        <f t="shared" ref="AE49:AE54" si="52">W49/$AE$4</f>
        <v>0</v>
      </c>
      <c r="AF49" s="184">
        <f t="shared" ref="AF49:AF54" si="53">Y49/$AE$4</f>
        <v>0</v>
      </c>
      <c r="AG49" s="185">
        <f t="shared" ref="AG49:AG54" si="54">SUM(AC49:AF49)</f>
        <v>5563.0733944954127</v>
      </c>
      <c r="AI49" s="187">
        <f t="shared" ref="AI49:AL54" si="55">AC49*$AK$4</f>
        <v>0</v>
      </c>
      <c r="AJ49" s="188">
        <f t="shared" si="55"/>
        <v>47024.659403669721</v>
      </c>
      <c r="AK49" s="188">
        <f t="shared" si="55"/>
        <v>0</v>
      </c>
      <c r="AL49" s="188">
        <f t="shared" si="55"/>
        <v>0</v>
      </c>
      <c r="AM49" s="189">
        <f t="shared" ref="AM49:AM54" si="56">SUM(AI49:AL49)</f>
        <v>47024.659403669721</v>
      </c>
    </row>
    <row r="50" spans="2:39" s="4" customFormat="1" ht="18.5">
      <c r="B50" s="372"/>
      <c r="C50" s="137" t="s">
        <v>106</v>
      </c>
      <c r="D50" s="138">
        <f>350*2200</f>
        <v>770000</v>
      </c>
      <c r="E50" s="137"/>
      <c r="F50" s="139">
        <f t="shared" si="39"/>
        <v>0</v>
      </c>
      <c r="G50" s="152">
        <v>28</v>
      </c>
      <c r="H50" s="144">
        <f t="shared" si="40"/>
        <v>22638000</v>
      </c>
      <c r="I50" s="152"/>
      <c r="J50" s="144">
        <f t="shared" si="41"/>
        <v>0</v>
      </c>
      <c r="K50" s="152"/>
      <c r="L50" s="144">
        <f t="shared" si="42"/>
        <v>0</v>
      </c>
      <c r="M50" s="145">
        <f t="shared" si="43"/>
        <v>28</v>
      </c>
      <c r="N50" s="146">
        <f t="shared" si="44"/>
        <v>22638000</v>
      </c>
      <c r="O50" s="141" t="b">
        <f t="shared" si="3"/>
        <v>1</v>
      </c>
      <c r="P50" s="370"/>
      <c r="S50" s="182">
        <f t="shared" si="45"/>
        <v>0</v>
      </c>
      <c r="T50" s="183" t="s">
        <v>76</v>
      </c>
      <c r="U50" s="184">
        <f t="shared" si="46"/>
        <v>22638000</v>
      </c>
      <c r="V50" s="183" t="s">
        <v>77</v>
      </c>
      <c r="W50" s="184">
        <f t="shared" si="47"/>
        <v>0</v>
      </c>
      <c r="X50" s="183" t="s">
        <v>78</v>
      </c>
      <c r="Y50" s="184">
        <f t="shared" si="48"/>
        <v>0</v>
      </c>
      <c r="Z50" s="183" t="s">
        <v>79</v>
      </c>
      <c r="AA50" s="185">
        <f t="shared" si="49"/>
        <v>22638000</v>
      </c>
      <c r="AB50" s="42">
        <f t="shared" si="14"/>
        <v>0</v>
      </c>
      <c r="AC50" s="186">
        <f t="shared" si="50"/>
        <v>0</v>
      </c>
      <c r="AD50" s="184">
        <f t="shared" si="51"/>
        <v>10384.40366972477</v>
      </c>
      <c r="AE50" s="184">
        <f t="shared" si="52"/>
        <v>0</v>
      </c>
      <c r="AF50" s="184">
        <f t="shared" si="53"/>
        <v>0</v>
      </c>
      <c r="AG50" s="185">
        <f t="shared" si="54"/>
        <v>10384.40366972477</v>
      </c>
      <c r="AI50" s="187">
        <f t="shared" si="55"/>
        <v>0</v>
      </c>
      <c r="AJ50" s="188">
        <f t="shared" si="55"/>
        <v>87779.364220183474</v>
      </c>
      <c r="AK50" s="188">
        <f t="shared" si="55"/>
        <v>0</v>
      </c>
      <c r="AL50" s="188">
        <f t="shared" si="55"/>
        <v>0</v>
      </c>
      <c r="AM50" s="189">
        <f t="shared" si="56"/>
        <v>87779.364220183474</v>
      </c>
    </row>
    <row r="51" spans="2:39" s="4" customFormat="1" ht="15.75" customHeight="1">
      <c r="B51" s="372"/>
      <c r="C51" s="137" t="s">
        <v>106</v>
      </c>
      <c r="D51" s="138"/>
      <c r="E51" s="137">
        <v>1</v>
      </c>
      <c r="F51" s="139">
        <f t="shared" si="39"/>
        <v>0</v>
      </c>
      <c r="G51" s="152">
        <v>1</v>
      </c>
      <c r="H51" s="144">
        <f t="shared" si="40"/>
        <v>0</v>
      </c>
      <c r="I51" s="152">
        <v>1</v>
      </c>
      <c r="J51" s="144">
        <f t="shared" si="41"/>
        <v>0</v>
      </c>
      <c r="K51" s="152">
        <v>1</v>
      </c>
      <c r="L51" s="144">
        <f t="shared" si="42"/>
        <v>0</v>
      </c>
      <c r="M51" s="145">
        <f t="shared" si="43"/>
        <v>4</v>
      </c>
      <c r="N51" s="146">
        <f t="shared" si="44"/>
        <v>0</v>
      </c>
      <c r="O51" s="141" t="b">
        <f t="shared" si="3"/>
        <v>1</v>
      </c>
      <c r="P51" s="370"/>
      <c r="S51" s="182">
        <f t="shared" si="45"/>
        <v>0</v>
      </c>
      <c r="T51" s="183" t="s">
        <v>76</v>
      </c>
      <c r="U51" s="184">
        <f t="shared" si="46"/>
        <v>0</v>
      </c>
      <c r="V51" s="183" t="s">
        <v>77</v>
      </c>
      <c r="W51" s="184">
        <f t="shared" si="47"/>
        <v>0</v>
      </c>
      <c r="X51" s="183" t="s">
        <v>78</v>
      </c>
      <c r="Y51" s="184">
        <f t="shared" si="48"/>
        <v>0</v>
      </c>
      <c r="Z51" s="183" t="s">
        <v>79</v>
      </c>
      <c r="AA51" s="185">
        <f t="shared" si="49"/>
        <v>0</v>
      </c>
      <c r="AB51" s="42">
        <f t="shared" si="14"/>
        <v>0</v>
      </c>
      <c r="AC51" s="186">
        <f t="shared" si="50"/>
        <v>0</v>
      </c>
      <c r="AD51" s="184">
        <f t="shared" si="51"/>
        <v>0</v>
      </c>
      <c r="AE51" s="184">
        <f t="shared" si="52"/>
        <v>0</v>
      </c>
      <c r="AF51" s="184">
        <f t="shared" si="53"/>
        <v>0</v>
      </c>
      <c r="AG51" s="185">
        <f t="shared" si="54"/>
        <v>0</v>
      </c>
      <c r="AI51" s="187">
        <f t="shared" si="55"/>
        <v>0</v>
      </c>
      <c r="AJ51" s="188">
        <f t="shared" si="55"/>
        <v>0</v>
      </c>
      <c r="AK51" s="188">
        <f t="shared" si="55"/>
        <v>0</v>
      </c>
      <c r="AL51" s="188">
        <f t="shared" si="55"/>
        <v>0</v>
      </c>
      <c r="AM51" s="189">
        <f t="shared" si="56"/>
        <v>0</v>
      </c>
    </row>
    <row r="52" spans="2:39" s="4" customFormat="1" ht="15.75" customHeight="1">
      <c r="B52" s="372"/>
      <c r="C52" s="137" t="s">
        <v>106</v>
      </c>
      <c r="D52" s="138"/>
      <c r="E52" s="137">
        <v>1</v>
      </c>
      <c r="F52" s="139">
        <f t="shared" si="39"/>
        <v>0</v>
      </c>
      <c r="G52" s="152">
        <v>1</v>
      </c>
      <c r="H52" s="144">
        <f t="shared" si="40"/>
        <v>0</v>
      </c>
      <c r="I52" s="152">
        <v>1</v>
      </c>
      <c r="J52" s="144">
        <f t="shared" si="41"/>
        <v>0</v>
      </c>
      <c r="K52" s="152">
        <v>1</v>
      </c>
      <c r="L52" s="144">
        <f t="shared" si="42"/>
        <v>0</v>
      </c>
      <c r="M52" s="145">
        <f t="shared" si="43"/>
        <v>4</v>
      </c>
      <c r="N52" s="146">
        <f t="shared" si="44"/>
        <v>0</v>
      </c>
      <c r="O52" s="141" t="b">
        <f t="shared" si="3"/>
        <v>1</v>
      </c>
      <c r="P52" s="370"/>
      <c r="S52" s="182">
        <f t="shared" si="45"/>
        <v>0</v>
      </c>
      <c r="T52" s="183" t="s">
        <v>76</v>
      </c>
      <c r="U52" s="184">
        <f t="shared" si="46"/>
        <v>0</v>
      </c>
      <c r="V52" s="183" t="s">
        <v>77</v>
      </c>
      <c r="W52" s="184">
        <f t="shared" si="47"/>
        <v>0</v>
      </c>
      <c r="X52" s="183" t="s">
        <v>78</v>
      </c>
      <c r="Y52" s="184">
        <f t="shared" si="48"/>
        <v>0</v>
      </c>
      <c r="Z52" s="183" t="s">
        <v>79</v>
      </c>
      <c r="AA52" s="185">
        <f t="shared" si="49"/>
        <v>0</v>
      </c>
      <c r="AB52" s="42">
        <f t="shared" si="14"/>
        <v>0</v>
      </c>
      <c r="AC52" s="186">
        <f t="shared" si="50"/>
        <v>0</v>
      </c>
      <c r="AD52" s="184">
        <f t="shared" si="51"/>
        <v>0</v>
      </c>
      <c r="AE52" s="184">
        <f t="shared" si="52"/>
        <v>0</v>
      </c>
      <c r="AF52" s="184">
        <f t="shared" si="53"/>
        <v>0</v>
      </c>
      <c r="AG52" s="185">
        <f t="shared" si="54"/>
        <v>0</v>
      </c>
      <c r="AI52" s="187">
        <f t="shared" si="55"/>
        <v>0</v>
      </c>
      <c r="AJ52" s="188">
        <f t="shared" si="55"/>
        <v>0</v>
      </c>
      <c r="AK52" s="188">
        <f t="shared" si="55"/>
        <v>0</v>
      </c>
      <c r="AL52" s="188">
        <f t="shared" si="55"/>
        <v>0</v>
      </c>
      <c r="AM52" s="189">
        <f t="shared" si="56"/>
        <v>0</v>
      </c>
    </row>
    <row r="53" spans="2:39" s="4" customFormat="1" ht="15.75" customHeight="1">
      <c r="B53" s="372"/>
      <c r="C53" s="137" t="s">
        <v>106</v>
      </c>
      <c r="D53" s="138"/>
      <c r="E53" s="137">
        <v>1</v>
      </c>
      <c r="F53" s="139">
        <f t="shared" si="39"/>
        <v>0</v>
      </c>
      <c r="G53" s="152">
        <v>1</v>
      </c>
      <c r="H53" s="144">
        <f t="shared" si="40"/>
        <v>0</v>
      </c>
      <c r="I53" s="152">
        <v>1</v>
      </c>
      <c r="J53" s="144">
        <f t="shared" si="41"/>
        <v>0</v>
      </c>
      <c r="K53" s="152">
        <v>1</v>
      </c>
      <c r="L53" s="144">
        <f t="shared" si="42"/>
        <v>0</v>
      </c>
      <c r="M53" s="145">
        <f t="shared" si="43"/>
        <v>4</v>
      </c>
      <c r="N53" s="146">
        <f t="shared" si="44"/>
        <v>0</v>
      </c>
      <c r="O53" s="141" t="b">
        <f t="shared" si="3"/>
        <v>1</v>
      </c>
      <c r="P53" s="370"/>
      <c r="S53" s="182">
        <f t="shared" si="45"/>
        <v>0</v>
      </c>
      <c r="T53" s="183" t="s">
        <v>76</v>
      </c>
      <c r="U53" s="184">
        <f t="shared" si="46"/>
        <v>0</v>
      </c>
      <c r="V53" s="183" t="s">
        <v>77</v>
      </c>
      <c r="W53" s="184">
        <f t="shared" si="47"/>
        <v>0</v>
      </c>
      <c r="X53" s="183" t="s">
        <v>78</v>
      </c>
      <c r="Y53" s="184">
        <f t="shared" si="48"/>
        <v>0</v>
      </c>
      <c r="Z53" s="183" t="s">
        <v>79</v>
      </c>
      <c r="AA53" s="185">
        <f t="shared" si="49"/>
        <v>0</v>
      </c>
      <c r="AB53" s="42">
        <f t="shared" si="14"/>
        <v>0</v>
      </c>
      <c r="AC53" s="186">
        <f t="shared" si="50"/>
        <v>0</v>
      </c>
      <c r="AD53" s="184">
        <f t="shared" si="51"/>
        <v>0</v>
      </c>
      <c r="AE53" s="184">
        <f t="shared" si="52"/>
        <v>0</v>
      </c>
      <c r="AF53" s="184">
        <f t="shared" si="53"/>
        <v>0</v>
      </c>
      <c r="AG53" s="185">
        <f t="shared" si="54"/>
        <v>0</v>
      </c>
      <c r="AI53" s="187">
        <f t="shared" si="55"/>
        <v>0</v>
      </c>
      <c r="AJ53" s="188">
        <f t="shared" si="55"/>
        <v>0</v>
      </c>
      <c r="AK53" s="188">
        <f t="shared" si="55"/>
        <v>0</v>
      </c>
      <c r="AL53" s="188">
        <f t="shared" si="55"/>
        <v>0</v>
      </c>
      <c r="AM53" s="189">
        <f t="shared" si="56"/>
        <v>0</v>
      </c>
    </row>
    <row r="54" spans="2:39" s="4" customFormat="1" ht="15.75" customHeight="1">
      <c r="B54" s="372"/>
      <c r="C54" s="137" t="s">
        <v>106</v>
      </c>
      <c r="D54" s="138"/>
      <c r="E54" s="137">
        <v>1</v>
      </c>
      <c r="F54" s="139">
        <f t="shared" si="39"/>
        <v>0</v>
      </c>
      <c r="G54" s="152">
        <v>1</v>
      </c>
      <c r="H54" s="144">
        <f t="shared" si="40"/>
        <v>0</v>
      </c>
      <c r="I54" s="152">
        <v>1</v>
      </c>
      <c r="J54" s="144">
        <f t="shared" si="41"/>
        <v>0</v>
      </c>
      <c r="K54" s="152">
        <v>1</v>
      </c>
      <c r="L54" s="144">
        <f t="shared" si="42"/>
        <v>0</v>
      </c>
      <c r="M54" s="145">
        <f t="shared" si="43"/>
        <v>4</v>
      </c>
      <c r="N54" s="146">
        <f t="shared" si="44"/>
        <v>0</v>
      </c>
      <c r="O54" s="141" t="b">
        <f t="shared" si="3"/>
        <v>1</v>
      </c>
      <c r="P54" s="370"/>
      <c r="S54" s="182">
        <f t="shared" si="45"/>
        <v>0</v>
      </c>
      <c r="T54" s="183" t="s">
        <v>76</v>
      </c>
      <c r="U54" s="184">
        <f t="shared" si="46"/>
        <v>0</v>
      </c>
      <c r="V54" s="183" t="s">
        <v>77</v>
      </c>
      <c r="W54" s="184">
        <f t="shared" si="47"/>
        <v>0</v>
      </c>
      <c r="X54" s="183" t="s">
        <v>78</v>
      </c>
      <c r="Y54" s="184">
        <f t="shared" si="48"/>
        <v>0</v>
      </c>
      <c r="Z54" s="183" t="s">
        <v>79</v>
      </c>
      <c r="AA54" s="185">
        <f t="shared" si="49"/>
        <v>0</v>
      </c>
      <c r="AB54" s="42">
        <f t="shared" si="14"/>
        <v>0</v>
      </c>
      <c r="AC54" s="186">
        <f t="shared" si="50"/>
        <v>0</v>
      </c>
      <c r="AD54" s="184">
        <f t="shared" si="51"/>
        <v>0</v>
      </c>
      <c r="AE54" s="184">
        <f t="shared" si="52"/>
        <v>0</v>
      </c>
      <c r="AF54" s="184">
        <f t="shared" si="53"/>
        <v>0</v>
      </c>
      <c r="AG54" s="185">
        <f t="shared" si="54"/>
        <v>0</v>
      </c>
      <c r="AI54" s="187">
        <f t="shared" si="55"/>
        <v>0</v>
      </c>
      <c r="AJ54" s="188">
        <f t="shared" si="55"/>
        <v>0</v>
      </c>
      <c r="AK54" s="188">
        <f t="shared" si="55"/>
        <v>0</v>
      </c>
      <c r="AL54" s="188">
        <f t="shared" si="55"/>
        <v>0</v>
      </c>
      <c r="AM54" s="189">
        <f t="shared" si="56"/>
        <v>0</v>
      </c>
    </row>
    <row r="55" spans="2:39" s="1" customFormat="1" ht="14.25" customHeight="1">
      <c r="B55" s="132" t="s">
        <v>111</v>
      </c>
      <c r="C55" s="125"/>
      <c r="D55" s="133"/>
      <c r="E55" s="125"/>
      <c r="F55" s="133">
        <f>SUM(F44:F54)</f>
        <v>0</v>
      </c>
      <c r="G55" s="137"/>
      <c r="H55" s="133">
        <f>SUM(H44:H54)</f>
        <v>34765500</v>
      </c>
      <c r="I55" s="127"/>
      <c r="J55" s="133">
        <f>SUM(J44:J54)</f>
        <v>0</v>
      </c>
      <c r="K55" s="127"/>
      <c r="L55" s="133">
        <f>SUM(L44:L54)</f>
        <v>0</v>
      </c>
      <c r="M55" s="127"/>
      <c r="N55" s="133">
        <f>SUM(N44:N54)</f>
        <v>34765500</v>
      </c>
      <c r="O55" s="141" t="b">
        <f t="shared" si="3"/>
        <v>0</v>
      </c>
      <c r="P55" s="153">
        <f>SUM(P43)</f>
        <v>0</v>
      </c>
      <c r="Q55" s="20"/>
      <c r="R55" s="20"/>
      <c r="S55" s="360">
        <f>SUM(S44:S54)</f>
        <v>0</v>
      </c>
      <c r="T55" s="183" t="s">
        <v>76</v>
      </c>
      <c r="U55" s="133">
        <f>SUM(U44:U54)</f>
        <v>34765500</v>
      </c>
      <c r="V55" s="183" t="s">
        <v>77</v>
      </c>
      <c r="W55" s="133">
        <f>SUM(W44:W54)</f>
        <v>0</v>
      </c>
      <c r="X55" s="183" t="s">
        <v>78</v>
      </c>
      <c r="Y55" s="133">
        <f>SUM(Y44:Y54)</f>
        <v>0</v>
      </c>
      <c r="Z55" s="183" t="s">
        <v>79</v>
      </c>
      <c r="AA55" s="373">
        <f>SUM(AA44:AA54)</f>
        <v>34765500</v>
      </c>
      <c r="AB55" s="42">
        <f t="shared" si="14"/>
        <v>0</v>
      </c>
      <c r="AC55" s="359">
        <f>SUM(AC44:AC54)</f>
        <v>0</v>
      </c>
      <c r="AD55" s="133">
        <f>SUM(AD44:AD54)</f>
        <v>15947.477064220184</v>
      </c>
      <c r="AE55" s="133">
        <f>SUM(AE44:AE54)</f>
        <v>0</v>
      </c>
      <c r="AF55" s="133">
        <f>SUM(AF44:AF54)</f>
        <v>0</v>
      </c>
      <c r="AG55" s="373">
        <f>SUM(AG44:AG54)</f>
        <v>15947.477064220184</v>
      </c>
      <c r="AH55" s="20"/>
      <c r="AI55" s="331">
        <f>SUM(AI44:AI54)</f>
        <v>0</v>
      </c>
      <c r="AJ55" s="332">
        <f>SUM(AJ44:AJ54)</f>
        <v>134804.02362385319</v>
      </c>
      <c r="AK55" s="332">
        <f>SUM(AK44:AK54)</f>
        <v>0</v>
      </c>
      <c r="AL55" s="332">
        <f>SUM(AL44:AL54)</f>
        <v>0</v>
      </c>
      <c r="AM55" s="333">
        <f>SUM(AM44:AM54)</f>
        <v>134804.02362385319</v>
      </c>
    </row>
    <row r="56" spans="2:39" s="4" customFormat="1" ht="14.25" customHeight="1">
      <c r="B56" s="143"/>
      <c r="C56" s="137"/>
      <c r="D56" s="138"/>
      <c r="E56" s="137"/>
      <c r="F56" s="139"/>
      <c r="G56" s="137"/>
      <c r="H56" s="139"/>
      <c r="I56" s="137"/>
      <c r="J56" s="139"/>
      <c r="K56" s="137"/>
      <c r="L56" s="139"/>
      <c r="M56" s="141"/>
      <c r="N56" s="138"/>
      <c r="O56" s="141" t="b">
        <f t="shared" si="3"/>
        <v>1</v>
      </c>
      <c r="P56" s="149"/>
      <c r="S56" s="309"/>
      <c r="T56" s="183" t="s">
        <v>76</v>
      </c>
      <c r="U56" s="310"/>
      <c r="V56" s="183" t="s">
        <v>77</v>
      </c>
      <c r="W56" s="310"/>
      <c r="X56" s="183" t="s">
        <v>78</v>
      </c>
      <c r="Y56" s="310"/>
      <c r="Z56" s="183" t="s">
        <v>79</v>
      </c>
      <c r="AA56" s="311"/>
      <c r="AB56" s="42">
        <f t="shared" si="14"/>
        <v>0</v>
      </c>
      <c r="AC56" s="186"/>
      <c r="AD56" s="184"/>
      <c r="AE56" s="184"/>
      <c r="AF56" s="184"/>
      <c r="AG56" s="185"/>
      <c r="AI56" s="187"/>
      <c r="AJ56" s="312"/>
      <c r="AK56" s="312"/>
      <c r="AL56" s="312"/>
      <c r="AM56" s="189"/>
    </row>
    <row r="57" spans="2:39" ht="14.25" customHeight="1">
      <c r="B57" s="132" t="s">
        <v>112</v>
      </c>
      <c r="C57" s="125"/>
      <c r="D57" s="133"/>
      <c r="E57" s="125"/>
      <c r="F57" s="133"/>
      <c r="G57" s="125"/>
      <c r="H57" s="133"/>
      <c r="I57" s="125"/>
      <c r="J57" s="133"/>
      <c r="K57" s="125"/>
      <c r="L57" s="133"/>
      <c r="M57" s="125"/>
      <c r="N57" s="133"/>
      <c r="O57" s="141" t="b">
        <f t="shared" si="3"/>
        <v>1</v>
      </c>
      <c r="P57" s="134"/>
      <c r="S57" s="313"/>
      <c r="T57" s="183" t="s">
        <v>76</v>
      </c>
      <c r="U57" s="314"/>
      <c r="V57" s="183" t="s">
        <v>77</v>
      </c>
      <c r="W57" s="314"/>
      <c r="X57" s="183" t="s">
        <v>78</v>
      </c>
      <c r="Y57" s="314"/>
      <c r="Z57" s="183" t="s">
        <v>79</v>
      </c>
      <c r="AA57" s="315"/>
      <c r="AB57" s="42">
        <f t="shared" si="14"/>
        <v>0</v>
      </c>
      <c r="AC57" s="316"/>
      <c r="AD57" s="317"/>
      <c r="AE57" s="317"/>
      <c r="AF57" s="317"/>
      <c r="AG57" s="318"/>
      <c r="AI57" s="319"/>
      <c r="AJ57" s="320"/>
      <c r="AK57" s="320"/>
      <c r="AL57" s="320"/>
      <c r="AM57" s="321"/>
    </row>
    <row r="58" spans="2:39" ht="14.25" customHeight="1">
      <c r="B58" s="147" t="s">
        <v>113</v>
      </c>
      <c r="C58" s="137" t="s">
        <v>114</v>
      </c>
      <c r="D58" s="138">
        <v>5000</v>
      </c>
      <c r="E58" s="137">
        <v>12</v>
      </c>
      <c r="F58" s="139">
        <f>E58*D58</f>
        <v>60000</v>
      </c>
      <c r="G58" s="152">
        <v>0</v>
      </c>
      <c r="H58" s="144">
        <f>G58*D58*($H$5)^1</f>
        <v>0</v>
      </c>
      <c r="I58" s="152">
        <v>0</v>
      </c>
      <c r="J58" s="144">
        <f>D58*I58*($J$5)^2</f>
        <v>0</v>
      </c>
      <c r="K58" s="152">
        <v>0</v>
      </c>
      <c r="L58" s="144">
        <f>D58*K58*($L$5)^3</f>
        <v>0</v>
      </c>
      <c r="M58" s="145">
        <v>0</v>
      </c>
      <c r="N58" s="146">
        <f>L58+J58+H58+F58</f>
        <v>60000</v>
      </c>
      <c r="O58" s="141" t="b">
        <f t="shared" si="3"/>
        <v>1</v>
      </c>
      <c r="P58" s="149"/>
      <c r="S58" s="313"/>
      <c r="T58" s="183"/>
      <c r="U58" s="314"/>
      <c r="V58" s="183"/>
      <c r="W58" s="314"/>
      <c r="X58" s="183"/>
      <c r="Y58" s="314"/>
      <c r="Z58" s="183"/>
      <c r="AA58" s="315"/>
      <c r="AB58" s="42"/>
      <c r="AC58" s="316"/>
      <c r="AD58" s="317"/>
      <c r="AE58" s="317"/>
      <c r="AF58" s="317"/>
      <c r="AG58" s="318"/>
      <c r="AI58" s="319"/>
      <c r="AJ58" s="320"/>
      <c r="AK58" s="320"/>
      <c r="AL58" s="320"/>
      <c r="AM58" s="321"/>
    </row>
    <row r="59" spans="2:39" ht="14.25" customHeight="1">
      <c r="B59" s="147" t="s">
        <v>115</v>
      </c>
      <c r="C59" s="137" t="s">
        <v>114</v>
      </c>
      <c r="D59" s="138">
        <v>35000</v>
      </c>
      <c r="E59" s="137">
        <v>2</v>
      </c>
      <c r="F59" s="139">
        <f>E59*D59</f>
        <v>70000</v>
      </c>
      <c r="G59" s="152">
        <v>0</v>
      </c>
      <c r="H59" s="144">
        <f>G59*D59*($H$5)^1</f>
        <v>0</v>
      </c>
      <c r="I59" s="152">
        <v>0</v>
      </c>
      <c r="J59" s="144">
        <f>D59*I59*($J$5)^2</f>
        <v>0</v>
      </c>
      <c r="K59" s="152">
        <v>0</v>
      </c>
      <c r="L59" s="144">
        <f>D59*K59*($L$5)^3</f>
        <v>0</v>
      </c>
      <c r="M59" s="145">
        <v>0</v>
      </c>
      <c r="N59" s="146">
        <f>L59+J59+H59+F59</f>
        <v>70000</v>
      </c>
      <c r="O59" s="141" t="b">
        <f t="shared" si="3"/>
        <v>1</v>
      </c>
      <c r="P59" s="149"/>
      <c r="S59" s="313"/>
      <c r="T59" s="183"/>
      <c r="U59" s="314"/>
      <c r="V59" s="183"/>
      <c r="W59" s="314"/>
      <c r="X59" s="183"/>
      <c r="Y59" s="314"/>
      <c r="Z59" s="183"/>
      <c r="AA59" s="315"/>
      <c r="AB59" s="42"/>
      <c r="AC59" s="316"/>
      <c r="AD59" s="317"/>
      <c r="AE59" s="317"/>
      <c r="AF59" s="317"/>
      <c r="AG59" s="318"/>
      <c r="AI59" s="319"/>
      <c r="AJ59" s="320"/>
      <c r="AK59" s="320"/>
      <c r="AL59" s="320"/>
      <c r="AM59" s="321"/>
    </row>
    <row r="60" spans="2:39" ht="14.25" customHeight="1">
      <c r="B60" s="147" t="s">
        <v>116</v>
      </c>
      <c r="C60" s="137" t="s">
        <v>114</v>
      </c>
      <c r="D60" s="138">
        <v>1000</v>
      </c>
      <c r="E60" s="137">
        <v>3</v>
      </c>
      <c r="F60" s="139">
        <f>E60*D60</f>
        <v>3000</v>
      </c>
      <c r="G60" s="152">
        <v>0</v>
      </c>
      <c r="H60" s="144">
        <f>G60*D60*($H$5)^1</f>
        <v>0</v>
      </c>
      <c r="I60" s="152">
        <v>0</v>
      </c>
      <c r="J60" s="144">
        <f>D60*I60*($J$5)^2</f>
        <v>0</v>
      </c>
      <c r="K60" s="152">
        <v>0</v>
      </c>
      <c r="L60" s="144">
        <f>D60*K60*($L$5)^3</f>
        <v>0</v>
      </c>
      <c r="M60" s="145">
        <v>0</v>
      </c>
      <c r="N60" s="146">
        <f>L60+J60+H60+F60</f>
        <v>3000</v>
      </c>
      <c r="O60" s="141" t="b">
        <f t="shared" si="3"/>
        <v>1</v>
      </c>
      <c r="P60" s="149"/>
      <c r="S60" s="313"/>
      <c r="T60" s="183"/>
      <c r="U60" s="314"/>
      <c r="V60" s="183"/>
      <c r="W60" s="314"/>
      <c r="X60" s="183"/>
      <c r="Y60" s="314"/>
      <c r="Z60" s="183"/>
      <c r="AA60" s="315"/>
      <c r="AB60" s="42"/>
      <c r="AC60" s="316"/>
      <c r="AD60" s="317"/>
      <c r="AE60" s="317"/>
      <c r="AF60" s="317"/>
      <c r="AG60" s="318"/>
      <c r="AI60" s="319"/>
      <c r="AJ60" s="320"/>
      <c r="AK60" s="320"/>
      <c r="AL60" s="320"/>
      <c r="AM60" s="321"/>
    </row>
    <row r="61" spans="2:39" s="1" customFormat="1" ht="14.25" customHeight="1">
      <c r="B61" s="132" t="s">
        <v>117</v>
      </c>
      <c r="C61" s="125"/>
      <c r="D61" s="133"/>
      <c r="E61" s="125"/>
      <c r="F61" s="133">
        <f>SUM(F58:F60)</f>
        <v>133000</v>
      </c>
      <c r="G61" s="125"/>
      <c r="H61" s="133">
        <f>SUM(H58:H60)</f>
        <v>0</v>
      </c>
      <c r="I61" s="127">
        <v>0</v>
      </c>
      <c r="J61" s="133">
        <f>SUM(J58:J60)</f>
        <v>0</v>
      </c>
      <c r="K61" s="127">
        <v>0</v>
      </c>
      <c r="L61" s="133">
        <f>SUM(L58:L60)</f>
        <v>0</v>
      </c>
      <c r="M61" s="127">
        <v>0</v>
      </c>
      <c r="N61" s="133">
        <f>SUM(N58:N60)</f>
        <v>133000</v>
      </c>
      <c r="O61" s="141" t="b">
        <f t="shared" si="3"/>
        <v>0</v>
      </c>
      <c r="P61" s="153"/>
      <c r="Q61" s="20"/>
      <c r="R61" s="20"/>
      <c r="S61" s="345">
        <v>0</v>
      </c>
      <c r="T61" s="183" t="s">
        <v>76</v>
      </c>
      <c r="U61" s="317">
        <v>0</v>
      </c>
      <c r="V61" s="183" t="s">
        <v>77</v>
      </c>
      <c r="W61" s="317">
        <v>0</v>
      </c>
      <c r="X61" s="183" t="s">
        <v>78</v>
      </c>
      <c r="Y61" s="317">
        <v>0</v>
      </c>
      <c r="Z61" s="183" t="s">
        <v>79</v>
      </c>
      <c r="AA61" s="318">
        <v>0</v>
      </c>
      <c r="AB61" s="42">
        <v>0</v>
      </c>
      <c r="AC61" s="316">
        <v>0</v>
      </c>
      <c r="AD61" s="317">
        <v>0</v>
      </c>
      <c r="AE61" s="317">
        <v>0</v>
      </c>
      <c r="AF61" s="317">
        <v>0</v>
      </c>
      <c r="AG61" s="318">
        <v>0</v>
      </c>
      <c r="AH61" s="20"/>
      <c r="AI61" s="319">
        <v>0</v>
      </c>
      <c r="AJ61" s="320">
        <v>0</v>
      </c>
      <c r="AK61" s="320">
        <v>0</v>
      </c>
      <c r="AL61" s="320">
        <v>0</v>
      </c>
      <c r="AM61" s="321">
        <v>0</v>
      </c>
    </row>
    <row r="62" spans="2:39" s="17" customFormat="1" ht="14.25" customHeight="1">
      <c r="B62" s="154"/>
      <c r="C62" s="155"/>
      <c r="D62" s="156"/>
      <c r="E62" s="137"/>
      <c r="F62" s="157"/>
      <c r="G62" s="137"/>
      <c r="H62" s="157"/>
      <c r="I62" s="137"/>
      <c r="J62" s="157"/>
      <c r="K62" s="137"/>
      <c r="L62" s="157"/>
      <c r="M62" s="158"/>
      <c r="N62" s="156"/>
      <c r="O62" s="141" t="b">
        <f t="shared" si="3"/>
        <v>1</v>
      </c>
      <c r="P62" s="159"/>
      <c r="S62" s="322"/>
      <c r="T62" s="183" t="s">
        <v>76</v>
      </c>
      <c r="U62" s="323"/>
      <c r="V62" s="183" t="s">
        <v>77</v>
      </c>
      <c r="W62" s="323"/>
      <c r="X62" s="183" t="s">
        <v>78</v>
      </c>
      <c r="Y62" s="323"/>
      <c r="Z62" s="183" t="s">
        <v>79</v>
      </c>
      <c r="AA62" s="324"/>
      <c r="AB62" s="42">
        <f t="shared" ref="AB62:AB113" si="57">N62-AA62</f>
        <v>0</v>
      </c>
      <c r="AC62" s="325"/>
      <c r="AD62" s="326"/>
      <c r="AE62" s="326"/>
      <c r="AF62" s="326"/>
      <c r="AG62" s="327"/>
      <c r="AI62" s="328"/>
      <c r="AJ62" s="329"/>
      <c r="AK62" s="329"/>
      <c r="AL62" s="329"/>
      <c r="AM62" s="330"/>
    </row>
    <row r="63" spans="2:39" ht="14.25" customHeight="1">
      <c r="B63" s="132" t="s">
        <v>118</v>
      </c>
      <c r="C63" s="127"/>
      <c r="D63" s="133"/>
      <c r="E63" s="137"/>
      <c r="F63" s="133"/>
      <c r="G63" s="125"/>
      <c r="H63" s="133"/>
      <c r="I63" s="125"/>
      <c r="J63" s="133"/>
      <c r="K63" s="125"/>
      <c r="L63" s="133"/>
      <c r="M63" s="125"/>
      <c r="N63" s="133"/>
      <c r="O63" s="141" t="b">
        <f t="shared" si="3"/>
        <v>1</v>
      </c>
      <c r="P63" s="134"/>
      <c r="Q63" s="18"/>
      <c r="R63" s="18"/>
      <c r="S63" s="313"/>
      <c r="T63" s="183" t="s">
        <v>76</v>
      </c>
      <c r="U63" s="314"/>
      <c r="V63" s="183" t="s">
        <v>77</v>
      </c>
      <c r="W63" s="314"/>
      <c r="X63" s="183" t="s">
        <v>78</v>
      </c>
      <c r="Y63" s="314"/>
      <c r="Z63" s="183" t="s">
        <v>79</v>
      </c>
      <c r="AA63" s="315"/>
      <c r="AB63" s="42">
        <f t="shared" si="57"/>
        <v>0</v>
      </c>
      <c r="AC63" s="316"/>
      <c r="AD63" s="317"/>
      <c r="AE63" s="317"/>
      <c r="AF63" s="317"/>
      <c r="AG63" s="318"/>
      <c r="AI63" s="319"/>
      <c r="AJ63" s="320"/>
      <c r="AK63" s="320"/>
      <c r="AL63" s="320"/>
      <c r="AM63" s="321"/>
    </row>
    <row r="64" spans="2:39" ht="14.25" customHeight="1">
      <c r="B64" s="351" t="s">
        <v>119</v>
      </c>
      <c r="C64" s="126"/>
      <c r="D64" s="135"/>
      <c r="E64" s="126"/>
      <c r="F64" s="160">
        <f>SUM(F65:F67)</f>
        <v>3542933.3333333335</v>
      </c>
      <c r="G64" s="126"/>
      <c r="H64" s="160">
        <f>SUM(H65:H67)</f>
        <v>3720080</v>
      </c>
      <c r="I64" s="126"/>
      <c r="J64" s="160">
        <f>SUM(J65:J67)</f>
        <v>3906084</v>
      </c>
      <c r="K64" s="126"/>
      <c r="L64" s="160">
        <f>SUM(L65:L67)</f>
        <v>4101388.2000000007</v>
      </c>
      <c r="M64" s="126"/>
      <c r="N64" s="160">
        <f>SUM(N65:N67)</f>
        <v>15270485.533333333</v>
      </c>
      <c r="O64" s="141" t="b">
        <f t="shared" si="3"/>
        <v>0</v>
      </c>
      <c r="P64" s="136"/>
      <c r="Q64" s="18"/>
      <c r="R64" s="18"/>
      <c r="S64" s="160">
        <f>SUM(S65:S67)</f>
        <v>3542933.3333333335</v>
      </c>
      <c r="T64" s="183" t="s">
        <v>76</v>
      </c>
      <c r="U64" s="160">
        <f>SUM(U65:U67)</f>
        <v>3720080</v>
      </c>
      <c r="V64" s="183" t="s">
        <v>77</v>
      </c>
      <c r="W64" s="160">
        <f>SUM(W65:W67)</f>
        <v>3906084</v>
      </c>
      <c r="X64" s="183" t="s">
        <v>78</v>
      </c>
      <c r="Y64" s="160">
        <f>SUM(Y65:Y67)</f>
        <v>4101388.2000000007</v>
      </c>
      <c r="Z64" s="183" t="s">
        <v>79</v>
      </c>
      <c r="AA64" s="160">
        <f>SUM(AA65:AA67)</f>
        <v>15270485.533333333</v>
      </c>
      <c r="AB64" s="42">
        <f t="shared" si="57"/>
        <v>0</v>
      </c>
      <c r="AC64" s="160">
        <f>SUM(AC65:AC67)</f>
        <v>1625.1987767584098</v>
      </c>
      <c r="AD64" s="160">
        <f>SUM(AD65:AD67)</f>
        <v>1706.4587155963304</v>
      </c>
      <c r="AE64" s="160">
        <f>SUM(AE65:AE67)</f>
        <v>1791.7816513761468</v>
      </c>
      <c r="AF64" s="160">
        <f>SUM(AF65:AF67)</f>
        <v>1881.3707339449543</v>
      </c>
      <c r="AG64" s="160">
        <f>SUM(AG65:AG67)</f>
        <v>7004.8098776758416</v>
      </c>
      <c r="AI64" s="306">
        <f t="shared" ref="AI64:AM75" si="58">AC64*$AK$4</f>
        <v>13737.805259938837</v>
      </c>
      <c r="AJ64" s="306">
        <f t="shared" si="58"/>
        <v>14424.695522935781</v>
      </c>
      <c r="AK64" s="306">
        <f t="shared" si="58"/>
        <v>15145.930299082567</v>
      </c>
      <c r="AL64" s="306">
        <f t="shared" si="58"/>
        <v>15903.226814036698</v>
      </c>
      <c r="AM64" s="306">
        <f t="shared" si="58"/>
        <v>59211.657895993885</v>
      </c>
    </row>
    <row r="65" spans="1:40" s="4" customFormat="1" ht="14.25" customHeight="1">
      <c r="A65" s="198"/>
      <c r="B65" s="374" t="s">
        <v>120</v>
      </c>
      <c r="C65" s="137" t="s">
        <v>82</v>
      </c>
      <c r="D65" s="138">
        <v>180345.45454545456</v>
      </c>
      <c r="E65" s="137">
        <v>12</v>
      </c>
      <c r="F65" s="139">
        <f>E65*D65</f>
        <v>2164145.4545454546</v>
      </c>
      <c r="G65" s="152">
        <v>12</v>
      </c>
      <c r="H65" s="144">
        <f>G65*D65*($H$5)^1</f>
        <v>2272352.7272727275</v>
      </c>
      <c r="I65" s="152">
        <v>12</v>
      </c>
      <c r="J65" s="144">
        <f>D65*I65*($J$5)^2</f>
        <v>2385970.3636363638</v>
      </c>
      <c r="K65" s="152">
        <v>12</v>
      </c>
      <c r="L65" s="144">
        <f>D65*K65*($L$5)^3</f>
        <v>2505268.8818181823</v>
      </c>
      <c r="M65" s="145">
        <f>+E65+G65+I65+K65</f>
        <v>48</v>
      </c>
      <c r="N65" s="146">
        <f>L65+J65+H65+F65</f>
        <v>9327737.4272727277</v>
      </c>
      <c r="O65" s="141" t="b">
        <f t="shared" si="3"/>
        <v>1</v>
      </c>
      <c r="P65" s="149"/>
      <c r="S65" s="182">
        <f>F65</f>
        <v>2164145.4545454546</v>
      </c>
      <c r="T65" s="183" t="s">
        <v>76</v>
      </c>
      <c r="U65" s="184">
        <f>H65</f>
        <v>2272352.7272727275</v>
      </c>
      <c r="V65" s="183" t="s">
        <v>77</v>
      </c>
      <c r="W65" s="184">
        <f>J65</f>
        <v>2385970.3636363638</v>
      </c>
      <c r="X65" s="183" t="s">
        <v>78</v>
      </c>
      <c r="Y65" s="184">
        <f>L65</f>
        <v>2505268.8818181823</v>
      </c>
      <c r="Z65" s="183" t="s">
        <v>79</v>
      </c>
      <c r="AA65" s="185">
        <f>SUM(S65:Y65)</f>
        <v>9327737.4272727277</v>
      </c>
      <c r="AB65" s="42">
        <f t="shared" si="57"/>
        <v>0</v>
      </c>
      <c r="AC65" s="186">
        <f>S65/$AE$4</f>
        <v>992.72727272727275</v>
      </c>
      <c r="AD65" s="184">
        <f>U65/$AE$4</f>
        <v>1042.3636363636365</v>
      </c>
      <c r="AE65" s="184">
        <f>W65/$AE$4</f>
        <v>1094.4818181818182</v>
      </c>
      <c r="AF65" s="184">
        <f>Y65/$AE$4</f>
        <v>1149.2059090909092</v>
      </c>
      <c r="AG65" s="185">
        <f>SUM(AC65:AF65)</f>
        <v>4278.7786363636369</v>
      </c>
      <c r="AI65" s="187">
        <f t="shared" si="58"/>
        <v>8391.5236363636359</v>
      </c>
      <c r="AJ65" s="188">
        <f t="shared" si="58"/>
        <v>8811.0998181818195</v>
      </c>
      <c r="AK65" s="188">
        <f t="shared" si="58"/>
        <v>9251.6548090909091</v>
      </c>
      <c r="AL65" s="188">
        <f t="shared" si="58"/>
        <v>9714.2375495454544</v>
      </c>
      <c r="AM65" s="189">
        <f>SUM(AI65:AL65)</f>
        <v>36168.515813181817</v>
      </c>
      <c r="AN65" s="48"/>
    </row>
    <row r="66" spans="1:40" s="4" customFormat="1" ht="14.25" customHeight="1">
      <c r="A66" s="198"/>
      <c r="B66" s="374" t="s">
        <v>121</v>
      </c>
      <c r="C66" s="137" t="s">
        <v>82</v>
      </c>
      <c r="D66" s="138">
        <v>34469.696969696968</v>
      </c>
      <c r="E66" s="137">
        <v>12</v>
      </c>
      <c r="F66" s="139">
        <f>E66*D66</f>
        <v>413636.36363636365</v>
      </c>
      <c r="G66" s="152">
        <v>12</v>
      </c>
      <c r="H66" s="144">
        <f>G66*D66*($H$5)^1</f>
        <v>434318.18181818182</v>
      </c>
      <c r="I66" s="152">
        <v>12</v>
      </c>
      <c r="J66" s="144">
        <f>D66*I66*($J$5)^2</f>
        <v>456034.09090909094</v>
      </c>
      <c r="K66" s="152">
        <v>12</v>
      </c>
      <c r="L66" s="144">
        <f>D66*K66*($L$5)^3</f>
        <v>478835.79545454553</v>
      </c>
      <c r="M66" s="145">
        <f>+E66+G66+I66+K66</f>
        <v>48</v>
      </c>
      <c r="N66" s="146">
        <f>L66+J66+H66+F66</f>
        <v>1782824.4318181821</v>
      </c>
      <c r="O66" s="141" t="b">
        <f t="shared" si="3"/>
        <v>1</v>
      </c>
      <c r="P66" s="149"/>
      <c r="S66" s="182">
        <f>F66</f>
        <v>413636.36363636365</v>
      </c>
      <c r="T66" s="183" t="s">
        <v>76</v>
      </c>
      <c r="U66" s="184">
        <f>H66</f>
        <v>434318.18181818182</v>
      </c>
      <c r="V66" s="183" t="s">
        <v>77</v>
      </c>
      <c r="W66" s="184">
        <f>J66</f>
        <v>456034.09090909094</v>
      </c>
      <c r="X66" s="183" t="s">
        <v>78</v>
      </c>
      <c r="Y66" s="184">
        <f>L66</f>
        <v>478835.79545454553</v>
      </c>
      <c r="Z66" s="183" t="s">
        <v>79</v>
      </c>
      <c r="AA66" s="185">
        <f>SUM(S66:Y66)</f>
        <v>1782824.4318181816</v>
      </c>
      <c r="AB66" s="42">
        <f t="shared" si="57"/>
        <v>0</v>
      </c>
      <c r="AC66" s="186">
        <f>S66/$AE$4</f>
        <v>189.74145120934114</v>
      </c>
      <c r="AD66" s="184">
        <f>U66/$AE$4</f>
        <v>199.22852376980816</v>
      </c>
      <c r="AE66" s="184">
        <f>W66/$AE$4</f>
        <v>209.1899499582986</v>
      </c>
      <c r="AF66" s="184">
        <f>Y66/$AE$4</f>
        <v>219.64944745621355</v>
      </c>
      <c r="AG66" s="185">
        <f>SUM(AC66:AF66)</f>
        <v>817.80937239366142</v>
      </c>
      <c r="AI66" s="187">
        <f t="shared" si="58"/>
        <v>1603.8844870725604</v>
      </c>
      <c r="AJ66" s="188">
        <f t="shared" si="58"/>
        <v>1684.0787114261882</v>
      </c>
      <c r="AK66" s="188">
        <f t="shared" si="58"/>
        <v>1768.282646997498</v>
      </c>
      <c r="AL66" s="188">
        <f t="shared" si="58"/>
        <v>1856.696779347373</v>
      </c>
      <c r="AM66" s="189">
        <f>SUM(AI66:AL66)</f>
        <v>6912.9426248436203</v>
      </c>
      <c r="AN66" s="48"/>
    </row>
    <row r="67" spans="1:40" s="4" customFormat="1" ht="14.25" customHeight="1">
      <c r="A67" s="198"/>
      <c r="B67" s="374" t="s">
        <v>122</v>
      </c>
      <c r="C67" s="137" t="s">
        <v>82</v>
      </c>
      <c r="D67" s="138">
        <v>80429.292929292933</v>
      </c>
      <c r="E67" s="137">
        <v>12</v>
      </c>
      <c r="F67" s="139">
        <f>E67*D67</f>
        <v>965151.51515151514</v>
      </c>
      <c r="G67" s="152">
        <v>12</v>
      </c>
      <c r="H67" s="144">
        <f>G67*D67*($H$5)^1</f>
        <v>1013409.0909090909</v>
      </c>
      <c r="I67" s="152">
        <v>12</v>
      </c>
      <c r="J67" s="144">
        <f>D67*I67*($J$5)^2</f>
        <v>1064079.5454545454</v>
      </c>
      <c r="K67" s="152">
        <v>12</v>
      </c>
      <c r="L67" s="144">
        <f>D67*K67*($L$5)^3</f>
        <v>1117283.5227272729</v>
      </c>
      <c r="M67" s="145">
        <f>+E67+G67+I67+K67</f>
        <v>48</v>
      </c>
      <c r="N67" s="146">
        <f>L67+J67+H67+F67</f>
        <v>4159923.6742424243</v>
      </c>
      <c r="O67" s="141" t="b">
        <f t="shared" si="3"/>
        <v>1</v>
      </c>
      <c r="P67" s="149"/>
      <c r="S67" s="182">
        <f>F67</f>
        <v>965151.51515151514</v>
      </c>
      <c r="T67" s="183" t="s">
        <v>76</v>
      </c>
      <c r="U67" s="184">
        <f>H67</f>
        <v>1013409.0909090909</v>
      </c>
      <c r="V67" s="183" t="s">
        <v>77</v>
      </c>
      <c r="W67" s="184">
        <f>J67</f>
        <v>1064079.5454545454</v>
      </c>
      <c r="X67" s="183" t="s">
        <v>78</v>
      </c>
      <c r="Y67" s="184">
        <f>L67</f>
        <v>1117283.5227272729</v>
      </c>
      <c r="Z67" s="183" t="s">
        <v>79</v>
      </c>
      <c r="AA67" s="185">
        <f>SUM(S67:Y67)</f>
        <v>4159923.6742424243</v>
      </c>
      <c r="AB67" s="42">
        <f t="shared" si="57"/>
        <v>0</v>
      </c>
      <c r="AC67" s="186">
        <f>S67/$AE$4</f>
        <v>442.73005282179594</v>
      </c>
      <c r="AD67" s="184">
        <f>U67/$AE$4</f>
        <v>464.86655546288574</v>
      </c>
      <c r="AE67" s="184">
        <f>W67/$AE$4</f>
        <v>488.10988323602999</v>
      </c>
      <c r="AF67" s="184">
        <f>Y67/$AE$4</f>
        <v>512.51537739783157</v>
      </c>
      <c r="AG67" s="185">
        <f>SUM(AC67:AF67)</f>
        <v>1908.2218689185431</v>
      </c>
      <c r="AI67" s="187">
        <f t="shared" si="58"/>
        <v>3742.3971365026409</v>
      </c>
      <c r="AJ67" s="188">
        <f t="shared" si="58"/>
        <v>3929.516993327773</v>
      </c>
      <c r="AK67" s="188">
        <f t="shared" si="58"/>
        <v>4125.992842994161</v>
      </c>
      <c r="AL67" s="188">
        <f t="shared" si="58"/>
        <v>4332.2924851438702</v>
      </c>
      <c r="AM67" s="189">
        <f>SUM(AI67:AL67)</f>
        <v>16130.199457968443</v>
      </c>
      <c r="AN67" s="48"/>
    </row>
    <row r="68" spans="1:40" s="4" customFormat="1" ht="14.25" customHeight="1">
      <c r="B68" s="351" t="s">
        <v>123</v>
      </c>
      <c r="C68" s="126"/>
      <c r="D68" s="135"/>
      <c r="E68" s="126"/>
      <c r="F68" s="160">
        <f>SUM(F69:F71)</f>
        <v>960000</v>
      </c>
      <c r="G68" s="126"/>
      <c r="H68" s="160">
        <f>SUM(H69:H71)</f>
        <v>1008000</v>
      </c>
      <c r="I68" s="126"/>
      <c r="J68" s="160">
        <f>SUM(J69:J71)</f>
        <v>1058400</v>
      </c>
      <c r="K68" s="126"/>
      <c r="L68" s="160">
        <f>SUM(L69:L71)</f>
        <v>1111320.0000000002</v>
      </c>
      <c r="M68" s="126"/>
      <c r="N68" s="160">
        <f>SUM(N69:N71)</f>
        <v>4137720</v>
      </c>
      <c r="O68" s="141" t="b">
        <f t="shared" si="3"/>
        <v>0</v>
      </c>
      <c r="P68" s="136"/>
      <c r="S68" s="160">
        <f>SUM(S69:S71)</f>
        <v>960000</v>
      </c>
      <c r="T68" s="183" t="s">
        <v>76</v>
      </c>
      <c r="U68" s="160">
        <f>SUM(U69:U71)</f>
        <v>1008000</v>
      </c>
      <c r="V68" s="183" t="s">
        <v>77</v>
      </c>
      <c r="W68" s="160">
        <f>SUM(W69:W71)</f>
        <v>1058400</v>
      </c>
      <c r="X68" s="183" t="s">
        <v>78</v>
      </c>
      <c r="Y68" s="160">
        <f>SUM(Y69:Y71)</f>
        <v>1111320.0000000002</v>
      </c>
      <c r="Z68" s="183" t="s">
        <v>79</v>
      </c>
      <c r="AA68" s="160">
        <f>SUM(AA69:AA71)</f>
        <v>4137720</v>
      </c>
      <c r="AB68" s="42">
        <f t="shared" si="57"/>
        <v>0</v>
      </c>
      <c r="AC68" s="160">
        <f>SUM(AC69:AC71)</f>
        <v>440.36697247706422</v>
      </c>
      <c r="AD68" s="160">
        <f>SUM(AD69:AD71)</f>
        <v>462.38532110091745</v>
      </c>
      <c r="AE68" s="160">
        <f>SUM(AE69:AE71)</f>
        <v>485.50458715596335</v>
      </c>
      <c r="AF68" s="160">
        <f>SUM(AF69:AF71)</f>
        <v>509.77981651376155</v>
      </c>
      <c r="AG68" s="160">
        <f>SUM(AG69:AG71)</f>
        <v>1898.0366972477066</v>
      </c>
      <c r="AI68" s="306">
        <f t="shared" si="58"/>
        <v>3722.4220183486236</v>
      </c>
      <c r="AJ68" s="306">
        <f t="shared" si="58"/>
        <v>3908.5431192660549</v>
      </c>
      <c r="AK68" s="306">
        <f t="shared" si="58"/>
        <v>4103.9702752293579</v>
      </c>
      <c r="AL68" s="306">
        <f t="shared" si="58"/>
        <v>4309.1687889908262</v>
      </c>
      <c r="AM68" s="306">
        <f t="shared" si="58"/>
        <v>16044.104201834862</v>
      </c>
    </row>
    <row r="69" spans="1:40" s="4" customFormat="1" ht="14.25" customHeight="1">
      <c r="B69" s="374" t="s">
        <v>120</v>
      </c>
      <c r="C69" s="137" t="s">
        <v>82</v>
      </c>
      <c r="D69" s="138">
        <v>30000</v>
      </c>
      <c r="E69" s="137">
        <v>12</v>
      </c>
      <c r="F69" s="139">
        <f t="shared" ref="F69:F75" si="59">E69*D69</f>
        <v>360000</v>
      </c>
      <c r="G69" s="137">
        <v>12</v>
      </c>
      <c r="H69" s="144">
        <f>G69*D69*($H$5)^1</f>
        <v>378000</v>
      </c>
      <c r="I69" s="137">
        <v>12</v>
      </c>
      <c r="J69" s="144">
        <f>D69*I69*($J$5)^2</f>
        <v>396900</v>
      </c>
      <c r="K69" s="137">
        <v>12</v>
      </c>
      <c r="L69" s="144">
        <f>D69*K69*($L$5)^3</f>
        <v>416745.00000000006</v>
      </c>
      <c r="M69" s="145">
        <f>+E69+G69+I69+K69</f>
        <v>48</v>
      </c>
      <c r="N69" s="146">
        <f>L69+J69+H69+F69</f>
        <v>1551645</v>
      </c>
      <c r="O69" s="141" t="b">
        <f t="shared" si="3"/>
        <v>1</v>
      </c>
      <c r="P69" s="149"/>
      <c r="S69" s="182">
        <f>F69</f>
        <v>360000</v>
      </c>
      <c r="T69" s="183" t="s">
        <v>76</v>
      </c>
      <c r="U69" s="184">
        <f>H69</f>
        <v>378000</v>
      </c>
      <c r="V69" s="183" t="s">
        <v>77</v>
      </c>
      <c r="W69" s="184">
        <f>J69</f>
        <v>396900</v>
      </c>
      <c r="X69" s="183" t="s">
        <v>78</v>
      </c>
      <c r="Y69" s="184">
        <f>L69</f>
        <v>416745.00000000006</v>
      </c>
      <c r="Z69" s="183" t="s">
        <v>79</v>
      </c>
      <c r="AA69" s="185">
        <f>SUM(S69:Y69)</f>
        <v>1551645</v>
      </c>
      <c r="AB69" s="42">
        <f t="shared" si="57"/>
        <v>0</v>
      </c>
      <c r="AC69" s="186">
        <f t="shared" ref="AC69:AC75" si="60">S69/$AE$4</f>
        <v>165.13761467889907</v>
      </c>
      <c r="AD69" s="184">
        <f>U69/$AE$4</f>
        <v>173.39449541284404</v>
      </c>
      <c r="AE69" s="184">
        <f>W69/$AE$4</f>
        <v>182.06422018348624</v>
      </c>
      <c r="AF69" s="184">
        <f>Y69/$AE$4</f>
        <v>191.16743119266059</v>
      </c>
      <c r="AG69" s="185">
        <f>SUM(AC69:AF69)</f>
        <v>711.76376146788994</v>
      </c>
      <c r="AI69" s="187">
        <f t="shared" si="58"/>
        <v>1395.9082568807337</v>
      </c>
      <c r="AJ69" s="188">
        <f t="shared" si="58"/>
        <v>1465.7036697247706</v>
      </c>
      <c r="AK69" s="188">
        <f t="shared" si="58"/>
        <v>1538.9888532110092</v>
      </c>
      <c r="AL69" s="188">
        <f t="shared" si="58"/>
        <v>1615.9382958715598</v>
      </c>
      <c r="AM69" s="189">
        <f>SUM(AI69:AL69)</f>
        <v>6016.5390756880734</v>
      </c>
      <c r="AN69" s="48"/>
    </row>
    <row r="70" spans="1:40" s="4" customFormat="1" ht="14.25" customHeight="1">
      <c r="B70" s="374" t="s">
        <v>121</v>
      </c>
      <c r="C70" s="137" t="s">
        <v>82</v>
      </c>
      <c r="D70" s="138">
        <v>25000</v>
      </c>
      <c r="E70" s="137">
        <v>12</v>
      </c>
      <c r="F70" s="139">
        <f t="shared" si="59"/>
        <v>300000</v>
      </c>
      <c r="G70" s="137">
        <v>12</v>
      </c>
      <c r="H70" s="144">
        <f>G70*D70*($H$5)^1</f>
        <v>315000</v>
      </c>
      <c r="I70" s="137">
        <v>12</v>
      </c>
      <c r="J70" s="144">
        <f>D70*I70*($J$5)^2</f>
        <v>330750</v>
      </c>
      <c r="K70" s="137">
        <v>12</v>
      </c>
      <c r="L70" s="144">
        <f t="shared" ref="L70:L75" si="61">D70*K70*($L$5)^3</f>
        <v>347287.50000000006</v>
      </c>
      <c r="M70" s="145">
        <f>+E70+G70+I70+K70</f>
        <v>48</v>
      </c>
      <c r="N70" s="146">
        <f>L70+J70+H70+F70</f>
        <v>1293037.5</v>
      </c>
      <c r="O70" s="141" t="b">
        <f t="shared" si="3"/>
        <v>1</v>
      </c>
      <c r="P70" s="149"/>
      <c r="S70" s="182">
        <f>F70</f>
        <v>300000</v>
      </c>
      <c r="T70" s="183" t="s">
        <v>76</v>
      </c>
      <c r="U70" s="184">
        <f>H70</f>
        <v>315000</v>
      </c>
      <c r="V70" s="183" t="s">
        <v>77</v>
      </c>
      <c r="W70" s="184">
        <f>J70</f>
        <v>330750</v>
      </c>
      <c r="X70" s="183" t="s">
        <v>78</v>
      </c>
      <c r="Y70" s="184">
        <f>L70</f>
        <v>347287.50000000006</v>
      </c>
      <c r="Z70" s="183" t="s">
        <v>79</v>
      </c>
      <c r="AA70" s="185">
        <f>SUM(S70:Y70)</f>
        <v>1293037.5</v>
      </c>
      <c r="AB70" s="42">
        <f t="shared" si="57"/>
        <v>0</v>
      </c>
      <c r="AC70" s="186">
        <f t="shared" si="60"/>
        <v>137.61467889908258</v>
      </c>
      <c r="AD70" s="184">
        <f>U70/$AE$4</f>
        <v>144.49541284403671</v>
      </c>
      <c r="AE70" s="184">
        <f>W70/$AE$4</f>
        <v>151.72018348623854</v>
      </c>
      <c r="AF70" s="184">
        <f>Y70/$AE$4</f>
        <v>159.30619266055049</v>
      </c>
      <c r="AG70" s="185">
        <f>SUM(AC70:AF70)</f>
        <v>593.13646788990832</v>
      </c>
      <c r="AI70" s="187">
        <f t="shared" si="58"/>
        <v>1163.2568807339449</v>
      </c>
      <c r="AJ70" s="188">
        <f t="shared" si="58"/>
        <v>1221.4197247706422</v>
      </c>
      <c r="AK70" s="188">
        <f t="shared" si="58"/>
        <v>1282.4907110091742</v>
      </c>
      <c r="AL70" s="188">
        <f t="shared" si="58"/>
        <v>1346.6152465596333</v>
      </c>
      <c r="AM70" s="189">
        <f>SUM(AI70:AL70)</f>
        <v>5013.7825630733951</v>
      </c>
      <c r="AN70" s="48"/>
    </row>
    <row r="71" spans="1:40" s="4" customFormat="1" ht="14.25" customHeight="1">
      <c r="B71" s="374" t="s">
        <v>122</v>
      </c>
      <c r="C71" s="137" t="s">
        <v>82</v>
      </c>
      <c r="D71" s="138">
        <v>25000</v>
      </c>
      <c r="E71" s="137">
        <v>12</v>
      </c>
      <c r="F71" s="139">
        <f t="shared" si="59"/>
        <v>300000</v>
      </c>
      <c r="G71" s="137">
        <v>12</v>
      </c>
      <c r="H71" s="144">
        <f>G71*D71*($H$5)^1</f>
        <v>315000</v>
      </c>
      <c r="I71" s="137">
        <v>12</v>
      </c>
      <c r="J71" s="144">
        <f>D71*I71*($J$5)^2</f>
        <v>330750</v>
      </c>
      <c r="K71" s="137">
        <v>12</v>
      </c>
      <c r="L71" s="144">
        <f t="shared" si="61"/>
        <v>347287.50000000006</v>
      </c>
      <c r="M71" s="145">
        <f>+E71+G71+I71+K71</f>
        <v>48</v>
      </c>
      <c r="N71" s="146">
        <f>L71+J71+H71+F71</f>
        <v>1293037.5</v>
      </c>
      <c r="O71" s="141" t="b">
        <f t="shared" si="3"/>
        <v>1</v>
      </c>
      <c r="P71" s="149"/>
      <c r="S71" s="182">
        <f>F71</f>
        <v>300000</v>
      </c>
      <c r="T71" s="183" t="s">
        <v>76</v>
      </c>
      <c r="U71" s="184">
        <f>H71</f>
        <v>315000</v>
      </c>
      <c r="V71" s="183" t="s">
        <v>77</v>
      </c>
      <c r="W71" s="184">
        <f>J71</f>
        <v>330750</v>
      </c>
      <c r="X71" s="183" t="s">
        <v>78</v>
      </c>
      <c r="Y71" s="184">
        <f>L71</f>
        <v>347287.50000000006</v>
      </c>
      <c r="Z71" s="183" t="s">
        <v>79</v>
      </c>
      <c r="AA71" s="185">
        <f>SUM(S71:Y71)</f>
        <v>1293037.5</v>
      </c>
      <c r="AB71" s="42">
        <f t="shared" si="57"/>
        <v>0</v>
      </c>
      <c r="AC71" s="186">
        <f t="shared" si="60"/>
        <v>137.61467889908258</v>
      </c>
      <c r="AD71" s="184">
        <f>U71/$AE$4</f>
        <v>144.49541284403671</v>
      </c>
      <c r="AE71" s="184">
        <f>W71/$AE$4</f>
        <v>151.72018348623854</v>
      </c>
      <c r="AF71" s="184">
        <f>Y71/$AE$4</f>
        <v>159.30619266055049</v>
      </c>
      <c r="AG71" s="185">
        <f>SUM(AC71:AF71)</f>
        <v>593.13646788990832</v>
      </c>
      <c r="AI71" s="187">
        <f t="shared" si="58"/>
        <v>1163.2568807339449</v>
      </c>
      <c r="AJ71" s="188">
        <f t="shared" si="58"/>
        <v>1221.4197247706422</v>
      </c>
      <c r="AK71" s="188">
        <f t="shared" si="58"/>
        <v>1282.4907110091742</v>
      </c>
      <c r="AL71" s="188">
        <f t="shared" si="58"/>
        <v>1346.6152465596333</v>
      </c>
      <c r="AM71" s="189">
        <f>SUM(AI71:AL71)</f>
        <v>5013.7825630733951</v>
      </c>
      <c r="AN71" s="48"/>
    </row>
    <row r="72" spans="1:40" s="4" customFormat="1" ht="14.25" customHeight="1">
      <c r="B72" s="351" t="s">
        <v>124</v>
      </c>
      <c r="C72" s="126"/>
      <c r="D72" s="135"/>
      <c r="E72" s="126"/>
      <c r="F72" s="160">
        <f>SUM(F73:F75)</f>
        <v>727999.99999999977</v>
      </c>
      <c r="G72" s="126"/>
      <c r="H72" s="160">
        <f>SUM(H73:H75)</f>
        <v>764399.99999999977</v>
      </c>
      <c r="I72" s="126"/>
      <c r="J72" s="160">
        <f>SUM(J73:J75)</f>
        <v>802619.99999999977</v>
      </c>
      <c r="K72" s="126"/>
      <c r="L72" s="160">
        <f>SUM(L73:L75)</f>
        <v>842750.99999999988</v>
      </c>
      <c r="M72" s="126"/>
      <c r="N72" s="160">
        <f>SUM(N73:N75)</f>
        <v>3137770.9999999995</v>
      </c>
      <c r="O72" s="141" t="b">
        <f t="shared" si="3"/>
        <v>0</v>
      </c>
      <c r="P72" s="136"/>
      <c r="S72" s="160">
        <f>SUM(S73:S75)</f>
        <v>727999.99999999977</v>
      </c>
      <c r="T72" s="183" t="s">
        <v>76</v>
      </c>
      <c r="U72" s="160">
        <f>SUM(U73:U75)</f>
        <v>764399.99999999977</v>
      </c>
      <c r="V72" s="183" t="s">
        <v>77</v>
      </c>
      <c r="W72" s="160">
        <f>SUM(W73:W75)</f>
        <v>802619.99999999977</v>
      </c>
      <c r="X72" s="183" t="s">
        <v>78</v>
      </c>
      <c r="Y72" s="160">
        <f>SUM(Y73:Y75)</f>
        <v>842750.99999999988</v>
      </c>
      <c r="Z72" s="183" t="s">
        <v>79</v>
      </c>
      <c r="AA72" s="160">
        <f>SUM(AA73:AA75)</f>
        <v>3137770.9999999991</v>
      </c>
      <c r="AB72" s="42">
        <f t="shared" si="57"/>
        <v>0</v>
      </c>
      <c r="AC72" s="160">
        <f>SUM(AC73:AC75)</f>
        <v>333.94495412844032</v>
      </c>
      <c r="AD72" s="160">
        <f>SUM(AD73:AD75)</f>
        <v>350.64220183486231</v>
      </c>
      <c r="AE72" s="160">
        <f>SUM(AE73:AE75)</f>
        <v>368.17431192660547</v>
      </c>
      <c r="AF72" s="160">
        <f>SUM(AF73:AF75)</f>
        <v>386.58302752293571</v>
      </c>
      <c r="AG72" s="160">
        <f>SUM(AG73:AG75)</f>
        <v>1439.344495412844</v>
      </c>
      <c r="AI72" s="306">
        <f t="shared" si="58"/>
        <v>2822.8366972477056</v>
      </c>
      <c r="AJ72" s="306">
        <f t="shared" si="58"/>
        <v>2963.9785321100908</v>
      </c>
      <c r="AK72" s="306">
        <f t="shared" si="58"/>
        <v>3112.177458715596</v>
      </c>
      <c r="AL72" s="306">
        <f t="shared" si="58"/>
        <v>3267.7863316513753</v>
      </c>
      <c r="AM72" s="306">
        <f t="shared" si="58"/>
        <v>12166.77901972477</v>
      </c>
    </row>
    <row r="73" spans="1:40" s="4" customFormat="1" ht="14.25" customHeight="1">
      <c r="B73" s="374" t="s">
        <v>120</v>
      </c>
      <c r="C73" s="137" t="s">
        <v>82</v>
      </c>
      <c r="D73" s="138">
        <v>20999.999999999996</v>
      </c>
      <c r="E73" s="137">
        <v>12</v>
      </c>
      <c r="F73" s="139">
        <f t="shared" si="59"/>
        <v>251999.99999999994</v>
      </c>
      <c r="G73" s="137">
        <v>12</v>
      </c>
      <c r="H73" s="144">
        <f>G73*D73*($H$5)^1</f>
        <v>264599.99999999994</v>
      </c>
      <c r="I73" s="137">
        <v>12</v>
      </c>
      <c r="J73" s="144">
        <f>D73*I73*($J$5)^2</f>
        <v>277829.99999999994</v>
      </c>
      <c r="K73" s="137">
        <v>12</v>
      </c>
      <c r="L73" s="144">
        <f t="shared" si="61"/>
        <v>291721.49999999994</v>
      </c>
      <c r="M73" s="145">
        <f>+E73+G73+I73+K73</f>
        <v>48</v>
      </c>
      <c r="N73" s="146">
        <f>L73+J73+H73+F73</f>
        <v>1086151.4999999998</v>
      </c>
      <c r="O73" s="141" t="b">
        <f t="shared" si="3"/>
        <v>1</v>
      </c>
      <c r="P73" s="149"/>
      <c r="S73" s="182">
        <f>F73</f>
        <v>251999.99999999994</v>
      </c>
      <c r="T73" s="183" t="s">
        <v>76</v>
      </c>
      <c r="U73" s="184">
        <f>H73</f>
        <v>264599.99999999994</v>
      </c>
      <c r="V73" s="183" t="s">
        <v>77</v>
      </c>
      <c r="W73" s="184">
        <f>J73</f>
        <v>277829.99999999994</v>
      </c>
      <c r="X73" s="183" t="s">
        <v>78</v>
      </c>
      <c r="Y73" s="184">
        <f>L73</f>
        <v>291721.49999999994</v>
      </c>
      <c r="Z73" s="183" t="s">
        <v>79</v>
      </c>
      <c r="AA73" s="185">
        <f>SUM(S73:Y73)</f>
        <v>1086151.4999999998</v>
      </c>
      <c r="AB73" s="42">
        <f t="shared" si="57"/>
        <v>0</v>
      </c>
      <c r="AC73" s="186">
        <f t="shared" si="60"/>
        <v>115.59633027522933</v>
      </c>
      <c r="AD73" s="184">
        <f>U73/$AE$4</f>
        <v>121.37614678899079</v>
      </c>
      <c r="AE73" s="184">
        <f>W73/$AE$4</f>
        <v>127.44495412844034</v>
      </c>
      <c r="AF73" s="184">
        <f>Y73/$AE$4</f>
        <v>133.81720183486235</v>
      </c>
      <c r="AG73" s="185">
        <f>SUM(AC73:AF73)</f>
        <v>498.23463302752282</v>
      </c>
      <c r="AI73" s="187">
        <f t="shared" si="58"/>
        <v>977.13577981651349</v>
      </c>
      <c r="AJ73" s="188">
        <f t="shared" si="58"/>
        <v>1025.992568807339</v>
      </c>
      <c r="AK73" s="188">
        <f t="shared" si="58"/>
        <v>1077.2921972477061</v>
      </c>
      <c r="AL73" s="188">
        <f t="shared" si="58"/>
        <v>1131.1568071100912</v>
      </c>
      <c r="AM73" s="189">
        <f>SUM(AI73:AL73)</f>
        <v>4211.5773529816497</v>
      </c>
      <c r="AN73" s="48"/>
    </row>
    <row r="74" spans="1:40" s="4" customFormat="1" ht="14.25" customHeight="1">
      <c r="B74" s="374" t="s">
        <v>121</v>
      </c>
      <c r="C74" s="137" t="s">
        <v>82</v>
      </c>
      <c r="D74" s="138">
        <v>10499.999999999998</v>
      </c>
      <c r="E74" s="137">
        <v>12</v>
      </c>
      <c r="F74" s="139">
        <f t="shared" si="59"/>
        <v>125999.99999999997</v>
      </c>
      <c r="G74" s="137">
        <v>12</v>
      </c>
      <c r="H74" s="144">
        <f>G74*D74*($H$5)^1</f>
        <v>132299.99999999997</v>
      </c>
      <c r="I74" s="137">
        <v>12</v>
      </c>
      <c r="J74" s="144">
        <f>D74*I74*($J$5)^2</f>
        <v>138914.99999999997</v>
      </c>
      <c r="K74" s="137">
        <v>12</v>
      </c>
      <c r="L74" s="144">
        <f t="shared" si="61"/>
        <v>145860.74999999997</v>
      </c>
      <c r="M74" s="145">
        <f>+E74+G74+I74+K74</f>
        <v>48</v>
      </c>
      <c r="N74" s="146">
        <f>L74+J74+H74+F74</f>
        <v>543075.74999999988</v>
      </c>
      <c r="O74" s="141" t="b">
        <f t="shared" si="3"/>
        <v>1</v>
      </c>
      <c r="P74" s="149"/>
      <c r="S74" s="182">
        <f>F74</f>
        <v>125999.99999999997</v>
      </c>
      <c r="T74" s="183" t="s">
        <v>76</v>
      </c>
      <c r="U74" s="184">
        <f>H74</f>
        <v>132299.99999999997</v>
      </c>
      <c r="V74" s="183" t="s">
        <v>77</v>
      </c>
      <c r="W74" s="184">
        <f>J74</f>
        <v>138914.99999999997</v>
      </c>
      <c r="X74" s="183" t="s">
        <v>78</v>
      </c>
      <c r="Y74" s="184">
        <f>L74</f>
        <v>145860.74999999997</v>
      </c>
      <c r="Z74" s="183" t="s">
        <v>79</v>
      </c>
      <c r="AA74" s="185">
        <f>SUM(S74:Y74)</f>
        <v>543075.74999999988</v>
      </c>
      <c r="AB74" s="42">
        <f t="shared" si="57"/>
        <v>0</v>
      </c>
      <c r="AC74" s="186">
        <f t="shared" si="60"/>
        <v>57.798165137614667</v>
      </c>
      <c r="AD74" s="184">
        <f>U74/$AE$4</f>
        <v>60.688073394495397</v>
      </c>
      <c r="AE74" s="184">
        <f>W74/$AE$4</f>
        <v>63.722477064220172</v>
      </c>
      <c r="AF74" s="184">
        <f>Y74/$AE$4</f>
        <v>66.908600917431173</v>
      </c>
      <c r="AG74" s="185">
        <f>SUM(AC74:AF74)</f>
        <v>249.11731651376141</v>
      </c>
      <c r="AI74" s="187">
        <f t="shared" si="58"/>
        <v>488.56788990825675</v>
      </c>
      <c r="AJ74" s="188">
        <f t="shared" si="58"/>
        <v>512.99628440366951</v>
      </c>
      <c r="AK74" s="188">
        <f t="shared" si="58"/>
        <v>538.64609862385305</v>
      </c>
      <c r="AL74" s="188">
        <f t="shared" si="58"/>
        <v>565.57840355504561</v>
      </c>
      <c r="AM74" s="189">
        <f>SUM(AI74:AL74)</f>
        <v>2105.7886764908249</v>
      </c>
      <c r="AN74" s="48"/>
    </row>
    <row r="75" spans="1:40" s="4" customFormat="1" ht="14.25" customHeight="1">
      <c r="B75" s="374" t="s">
        <v>122</v>
      </c>
      <c r="C75" s="137" t="s">
        <v>82</v>
      </c>
      <c r="D75" s="138">
        <v>29166.666666666661</v>
      </c>
      <c r="E75" s="137">
        <v>12</v>
      </c>
      <c r="F75" s="139">
        <f t="shared" si="59"/>
        <v>349999.99999999994</v>
      </c>
      <c r="G75" s="137">
        <v>12</v>
      </c>
      <c r="H75" s="144">
        <f>G75*D75*($H$5)^1</f>
        <v>367499.99999999994</v>
      </c>
      <c r="I75" s="137">
        <v>12</v>
      </c>
      <c r="J75" s="144">
        <f>D75*I75*($J$5)^2</f>
        <v>385874.99999999994</v>
      </c>
      <c r="K75" s="137">
        <v>12</v>
      </c>
      <c r="L75" s="144">
        <f t="shared" si="61"/>
        <v>405168.75</v>
      </c>
      <c r="M75" s="145">
        <f>+E75+G75+I75+K75</f>
        <v>48</v>
      </c>
      <c r="N75" s="146">
        <f>L75+J75+H75+F75</f>
        <v>1508543.75</v>
      </c>
      <c r="O75" s="141" t="b">
        <f t="shared" si="3"/>
        <v>1</v>
      </c>
      <c r="P75" s="149"/>
      <c r="S75" s="182">
        <f>F75</f>
        <v>349999.99999999994</v>
      </c>
      <c r="T75" s="183" t="s">
        <v>76</v>
      </c>
      <c r="U75" s="184">
        <f>H75</f>
        <v>367499.99999999994</v>
      </c>
      <c r="V75" s="183" t="s">
        <v>77</v>
      </c>
      <c r="W75" s="184">
        <f>J75</f>
        <v>385874.99999999994</v>
      </c>
      <c r="X75" s="183" t="s">
        <v>78</v>
      </c>
      <c r="Y75" s="184">
        <f>L75</f>
        <v>405168.75</v>
      </c>
      <c r="Z75" s="183" t="s">
        <v>79</v>
      </c>
      <c r="AA75" s="185">
        <f>SUM(S75:Y75)</f>
        <v>1508543.7499999998</v>
      </c>
      <c r="AB75" s="42">
        <f t="shared" si="57"/>
        <v>0</v>
      </c>
      <c r="AC75" s="186">
        <f t="shared" si="60"/>
        <v>160.55045871559631</v>
      </c>
      <c r="AD75" s="184">
        <f>U75/$AE$4</f>
        <v>168.57798165137612</v>
      </c>
      <c r="AE75" s="184">
        <f>W75/$AE$4</f>
        <v>177.00688073394494</v>
      </c>
      <c r="AF75" s="184">
        <f>Y75/$AE$4</f>
        <v>185.8572247706422</v>
      </c>
      <c r="AG75" s="185">
        <f>SUM(AC75:AF75)</f>
        <v>691.99254587155963</v>
      </c>
      <c r="AI75" s="187">
        <f t="shared" si="58"/>
        <v>1357.1330275229354</v>
      </c>
      <c r="AJ75" s="188">
        <f t="shared" si="58"/>
        <v>1424.9896788990823</v>
      </c>
      <c r="AK75" s="188">
        <f t="shared" si="58"/>
        <v>1496.2391628440364</v>
      </c>
      <c r="AL75" s="188">
        <f t="shared" si="58"/>
        <v>1571.0511209862384</v>
      </c>
      <c r="AM75" s="189">
        <f>SUM(AI75:AL75)</f>
        <v>5849.4129902522927</v>
      </c>
      <c r="AN75" s="48"/>
    </row>
    <row r="76" spans="1:40" s="1" customFormat="1" ht="14.25" customHeight="1">
      <c r="B76" s="132" t="s">
        <v>125</v>
      </c>
      <c r="C76" s="125"/>
      <c r="D76" s="133"/>
      <c r="E76" s="125"/>
      <c r="F76" s="133">
        <f>F72+F68+F64</f>
        <v>5230933.333333333</v>
      </c>
      <c r="G76" s="125"/>
      <c r="H76" s="133">
        <f>H72+H68+H64</f>
        <v>5492480</v>
      </c>
      <c r="I76" s="125"/>
      <c r="J76" s="133">
        <f>J72+J68+J64</f>
        <v>5767104</v>
      </c>
      <c r="K76" s="375"/>
      <c r="L76" s="133">
        <f>L72+L68+L64</f>
        <v>6055459.2000000011</v>
      </c>
      <c r="M76" s="375"/>
      <c r="N76" s="133">
        <f>N72+N68+N64</f>
        <v>22545976.533333331</v>
      </c>
      <c r="O76" s="141" t="b">
        <f t="shared" si="3"/>
        <v>0</v>
      </c>
      <c r="P76" s="161"/>
      <c r="Q76" s="20"/>
      <c r="R76" s="20"/>
      <c r="S76" s="133">
        <f>S72+S68+S64</f>
        <v>5230933.333333333</v>
      </c>
      <c r="T76" s="183" t="s">
        <v>76</v>
      </c>
      <c r="U76" s="133">
        <f>U72+U68+U64</f>
        <v>5492480</v>
      </c>
      <c r="V76" s="183" t="s">
        <v>77</v>
      </c>
      <c r="W76" s="133">
        <f>W72+W68+W64</f>
        <v>5767104</v>
      </c>
      <c r="X76" s="183" t="s">
        <v>78</v>
      </c>
      <c r="Y76" s="133">
        <f>Y72+Y68+Y64</f>
        <v>6055459.2000000011</v>
      </c>
      <c r="Z76" s="183" t="s">
        <v>79</v>
      </c>
      <c r="AA76" s="133">
        <f>AA72+AA68+AA64</f>
        <v>22545976.533333331</v>
      </c>
      <c r="AB76" s="42">
        <f t="shared" si="57"/>
        <v>0</v>
      </c>
      <c r="AC76" s="133">
        <f>AC72+AC68+AC64</f>
        <v>2399.5107033639142</v>
      </c>
      <c r="AD76" s="133">
        <f>AD72+AD68+AD64</f>
        <v>2519.4862385321103</v>
      </c>
      <c r="AE76" s="133">
        <f>AE72+AE68+AE64</f>
        <v>2645.4605504587157</v>
      </c>
      <c r="AF76" s="133">
        <f>AF72+AF68+AF64</f>
        <v>2777.7335779816513</v>
      </c>
      <c r="AG76" s="133">
        <f>AG72+AG68+AG64</f>
        <v>10342.191070336392</v>
      </c>
      <c r="AH76" s="4"/>
      <c r="AI76" s="331">
        <f>SUM(AI65:AI75)</f>
        <v>26828.322691131492</v>
      </c>
      <c r="AJ76" s="332">
        <f>SUM(AJ65:AJ75)</f>
        <v>28169.738825688073</v>
      </c>
      <c r="AK76" s="332">
        <f>SUM(AK65:AK75)</f>
        <v>29578.225766972471</v>
      </c>
      <c r="AL76" s="332">
        <f>SUM(AL65:AL75)</f>
        <v>31057.137055321102</v>
      </c>
      <c r="AM76" s="333">
        <f>SUM(AM65:AM75)</f>
        <v>115633.42433911315</v>
      </c>
    </row>
    <row r="77" spans="1:40" s="4" customFormat="1" ht="14.25" customHeight="1">
      <c r="B77" s="143"/>
      <c r="C77" s="137"/>
      <c r="D77" s="138"/>
      <c r="E77" s="137"/>
      <c r="F77" s="138"/>
      <c r="G77" s="137"/>
      <c r="H77" s="138"/>
      <c r="I77" s="137"/>
      <c r="J77" s="138"/>
      <c r="K77" s="137"/>
      <c r="L77" s="139"/>
      <c r="M77" s="141"/>
      <c r="N77" s="138"/>
      <c r="O77" s="141" t="b">
        <f t="shared" ref="O77:O138" si="62">((D77*E77*$F$5)+(G77*D77*$H$5)+(D77*I77*$J$5^2)+(D77*K77*$L$5^3))=N77</f>
        <v>1</v>
      </c>
      <c r="P77" s="149"/>
      <c r="S77" s="309"/>
      <c r="T77" s="183" t="s">
        <v>76</v>
      </c>
      <c r="U77" s="310"/>
      <c r="V77" s="183" t="s">
        <v>77</v>
      </c>
      <c r="W77" s="310"/>
      <c r="X77" s="183" t="s">
        <v>78</v>
      </c>
      <c r="Y77" s="310"/>
      <c r="Z77" s="183" t="s">
        <v>79</v>
      </c>
      <c r="AA77" s="311"/>
      <c r="AB77" s="42">
        <f t="shared" si="57"/>
        <v>0</v>
      </c>
      <c r="AC77" s="186"/>
      <c r="AD77" s="184"/>
      <c r="AE77" s="184"/>
      <c r="AF77" s="184"/>
      <c r="AG77" s="185"/>
      <c r="AI77" s="187"/>
      <c r="AJ77" s="312"/>
      <c r="AK77" s="312"/>
      <c r="AL77" s="312"/>
      <c r="AM77" s="189"/>
    </row>
    <row r="78" spans="1:40" ht="14.25" customHeight="1">
      <c r="B78" s="132" t="s">
        <v>126</v>
      </c>
      <c r="C78" s="127"/>
      <c r="D78" s="133"/>
      <c r="E78" s="127"/>
      <c r="F78" s="133"/>
      <c r="G78" s="127"/>
      <c r="H78" s="133"/>
      <c r="I78" s="127"/>
      <c r="J78" s="133"/>
      <c r="K78" s="125"/>
      <c r="L78" s="133"/>
      <c r="M78" s="125"/>
      <c r="N78" s="133"/>
      <c r="O78" s="141" t="b">
        <f t="shared" si="62"/>
        <v>1</v>
      </c>
      <c r="P78" s="134"/>
      <c r="S78" s="313"/>
      <c r="T78" s="183" t="s">
        <v>76</v>
      </c>
      <c r="U78" s="314"/>
      <c r="V78" s="183" t="s">
        <v>77</v>
      </c>
      <c r="W78" s="314"/>
      <c r="X78" s="183" t="s">
        <v>78</v>
      </c>
      <c r="Y78" s="314"/>
      <c r="Z78" s="183" t="s">
        <v>79</v>
      </c>
      <c r="AA78" s="315"/>
      <c r="AB78" s="42">
        <f t="shared" si="57"/>
        <v>0</v>
      </c>
      <c r="AC78" s="316"/>
      <c r="AD78" s="317"/>
      <c r="AE78" s="317"/>
      <c r="AF78" s="317"/>
      <c r="AG78" s="318"/>
      <c r="AI78" s="319"/>
      <c r="AJ78" s="320"/>
      <c r="AK78" s="320"/>
      <c r="AL78" s="320"/>
      <c r="AM78" s="321"/>
    </row>
    <row r="79" spans="1:40" ht="14.25" customHeight="1">
      <c r="B79" s="150" t="s">
        <v>75</v>
      </c>
      <c r="C79" s="127"/>
      <c r="D79" s="133"/>
      <c r="E79" s="127"/>
      <c r="F79" s="160">
        <f>SUM(F80:F86)</f>
        <v>27850000</v>
      </c>
      <c r="G79" s="127"/>
      <c r="H79" s="160">
        <f>SUM(H80:H86)</f>
        <v>29505000</v>
      </c>
      <c r="I79" s="127"/>
      <c r="J79" s="160">
        <f>SUM(J80:J86)</f>
        <v>24365250</v>
      </c>
      <c r="K79" s="126"/>
      <c r="L79" s="160">
        <f>SUM(L80:L86)</f>
        <v>44105512.500000007</v>
      </c>
      <c r="M79" s="126"/>
      <c r="N79" s="160">
        <f>SUM(N80:N86)</f>
        <v>125825762.5</v>
      </c>
      <c r="O79" s="141" t="b">
        <f t="shared" si="62"/>
        <v>0</v>
      </c>
      <c r="P79" s="136"/>
      <c r="S79" s="160">
        <f>SUM(S80:S86)</f>
        <v>27850000</v>
      </c>
      <c r="T79" s="183" t="s">
        <v>76</v>
      </c>
      <c r="U79" s="160">
        <f>SUM(U80:U86)</f>
        <v>29505000</v>
      </c>
      <c r="V79" s="183" t="s">
        <v>77</v>
      </c>
      <c r="W79" s="160">
        <f>SUM(W80:W86)</f>
        <v>24365250</v>
      </c>
      <c r="X79" s="183" t="s">
        <v>78</v>
      </c>
      <c r="Y79" s="160">
        <f>SUM(Y80:Y86)</f>
        <v>44105512.500000007</v>
      </c>
      <c r="Z79" s="183" t="s">
        <v>79</v>
      </c>
      <c r="AA79" s="160">
        <f>SUM(AA80:AA86)</f>
        <v>125825762.5</v>
      </c>
      <c r="AB79" s="42">
        <f t="shared" si="57"/>
        <v>0</v>
      </c>
      <c r="AC79" s="303"/>
      <c r="AD79" s="304"/>
      <c r="AE79" s="304"/>
      <c r="AF79" s="304"/>
      <c r="AG79" s="305"/>
      <c r="AI79" s="306"/>
      <c r="AJ79" s="307"/>
      <c r="AK79" s="307"/>
      <c r="AL79" s="307"/>
      <c r="AM79" s="308"/>
    </row>
    <row r="80" spans="1:40" ht="29.25" customHeight="1">
      <c r="A80" s="376"/>
      <c r="B80" s="151" t="s">
        <v>105</v>
      </c>
      <c r="C80" s="137" t="s">
        <v>127</v>
      </c>
      <c r="D80" s="138">
        <v>5750000</v>
      </c>
      <c r="E80" s="137">
        <v>1</v>
      </c>
      <c r="F80" s="139">
        <f t="shared" ref="F80:F86" si="63">E80*D80</f>
        <v>5750000</v>
      </c>
      <c r="G80" s="152"/>
      <c r="H80" s="144">
        <f>G80*D80*($H$5)^1</f>
        <v>0</v>
      </c>
      <c r="I80" s="152"/>
      <c r="J80" s="144">
        <f>D80*I80*($J$5)^2</f>
        <v>0</v>
      </c>
      <c r="K80" s="152"/>
      <c r="L80" s="144">
        <f>F80*K80*($L$5)^3</f>
        <v>0</v>
      </c>
      <c r="M80" s="145">
        <f>+E80+G80+I80+K80</f>
        <v>1</v>
      </c>
      <c r="N80" s="146">
        <f>L80+J80+H80+F80</f>
        <v>5750000</v>
      </c>
      <c r="O80" s="141" t="b">
        <f t="shared" si="62"/>
        <v>1</v>
      </c>
      <c r="P80" s="149"/>
      <c r="S80" s="182">
        <f t="shared" ref="S80:S86" si="64">F80</f>
        <v>5750000</v>
      </c>
      <c r="T80" s="183" t="s">
        <v>76</v>
      </c>
      <c r="U80" s="184">
        <f t="shared" ref="U80:U86" si="65">H80</f>
        <v>0</v>
      </c>
      <c r="V80" s="183" t="s">
        <v>77</v>
      </c>
      <c r="W80" s="184">
        <f t="shared" ref="W80:W86" si="66">J80</f>
        <v>0</v>
      </c>
      <c r="X80" s="183" t="s">
        <v>78</v>
      </c>
      <c r="Y80" s="184">
        <f t="shared" ref="Y80:Y86" si="67">L80</f>
        <v>0</v>
      </c>
      <c r="Z80" s="183" t="s">
        <v>79</v>
      </c>
      <c r="AA80" s="185">
        <f t="shared" ref="AA80:AA86" si="68">SUM(S80:Y80)</f>
        <v>5750000</v>
      </c>
      <c r="AB80" s="42">
        <f t="shared" si="57"/>
        <v>0</v>
      </c>
      <c r="AC80" s="186">
        <f t="shared" ref="AC80:AC86" si="69">S80/$AE$4</f>
        <v>2637.6146788990827</v>
      </c>
      <c r="AD80" s="184">
        <f t="shared" ref="AD80:AD86" si="70">U80/$AE$4</f>
        <v>0</v>
      </c>
      <c r="AE80" s="184">
        <f t="shared" ref="AE80:AE86" si="71">W80/$AE$4</f>
        <v>0</v>
      </c>
      <c r="AF80" s="184">
        <f t="shared" ref="AF80:AF86" si="72">Y80/$AE$4</f>
        <v>0</v>
      </c>
      <c r="AG80" s="185">
        <f t="shared" ref="AG80:AG86" si="73">SUM(AC80:AF80)</f>
        <v>2637.6146788990827</v>
      </c>
      <c r="AI80" s="187">
        <f t="shared" ref="AI80:AL86" si="74">AC80*$AK$4</f>
        <v>22295.756880733945</v>
      </c>
      <c r="AJ80" s="188">
        <f t="shared" si="74"/>
        <v>0</v>
      </c>
      <c r="AK80" s="188">
        <f t="shared" si="74"/>
        <v>0</v>
      </c>
      <c r="AL80" s="188">
        <f t="shared" si="74"/>
        <v>0</v>
      </c>
      <c r="AM80" s="189">
        <f t="shared" ref="AM80:AM86" si="75">SUM(AI80:AL80)</f>
        <v>22295.756880733945</v>
      </c>
      <c r="AN80" s="47"/>
    </row>
    <row r="81" spans="1:40" ht="77.25" customHeight="1">
      <c r="A81" s="376"/>
      <c r="B81" s="151" t="s">
        <v>128</v>
      </c>
      <c r="C81" s="137" t="s">
        <v>129</v>
      </c>
      <c r="D81" s="138">
        <v>10000000</v>
      </c>
      <c r="E81" s="137">
        <v>1</v>
      </c>
      <c r="F81" s="139">
        <f t="shared" si="63"/>
        <v>10000000</v>
      </c>
      <c r="G81" s="152"/>
      <c r="H81" s="144">
        <f t="shared" ref="H81:H86" si="76">G81*D81*($H$5)^1</f>
        <v>0</v>
      </c>
      <c r="I81" s="152"/>
      <c r="J81" s="144">
        <f t="shared" ref="J81:J86" si="77">D81*I81*($J$5)^2</f>
        <v>0</v>
      </c>
      <c r="K81" s="152"/>
      <c r="L81" s="144">
        <f>F81*K81*($L$5)^3</f>
        <v>0</v>
      </c>
      <c r="M81" s="145">
        <f t="shared" ref="M81:M86" si="78">+E81+G81+I81+K81</f>
        <v>1</v>
      </c>
      <c r="N81" s="146">
        <f t="shared" ref="N81:N86" si="79">L81+J81+H81+F81</f>
        <v>10000000</v>
      </c>
      <c r="O81" s="141" t="b">
        <f t="shared" si="62"/>
        <v>1</v>
      </c>
      <c r="P81" s="131"/>
      <c r="S81" s="182">
        <f t="shared" si="64"/>
        <v>10000000</v>
      </c>
      <c r="T81" s="183" t="s">
        <v>76</v>
      </c>
      <c r="U81" s="184">
        <f t="shared" si="65"/>
        <v>0</v>
      </c>
      <c r="V81" s="183" t="s">
        <v>77</v>
      </c>
      <c r="W81" s="184">
        <f t="shared" si="66"/>
        <v>0</v>
      </c>
      <c r="X81" s="183" t="s">
        <v>78</v>
      </c>
      <c r="Y81" s="184">
        <f t="shared" si="67"/>
        <v>0</v>
      </c>
      <c r="Z81" s="183" t="s">
        <v>79</v>
      </c>
      <c r="AA81" s="185">
        <f t="shared" si="68"/>
        <v>10000000</v>
      </c>
      <c r="AB81" s="42">
        <f t="shared" si="57"/>
        <v>0</v>
      </c>
      <c r="AC81" s="186">
        <f t="shared" si="69"/>
        <v>4587.1559633027518</v>
      </c>
      <c r="AD81" s="184">
        <f t="shared" si="70"/>
        <v>0</v>
      </c>
      <c r="AE81" s="184">
        <f t="shared" si="71"/>
        <v>0</v>
      </c>
      <c r="AF81" s="184">
        <f t="shared" si="72"/>
        <v>0</v>
      </c>
      <c r="AG81" s="185">
        <f t="shared" si="73"/>
        <v>4587.1559633027518</v>
      </c>
      <c r="AI81" s="187">
        <f t="shared" si="74"/>
        <v>38775.229357798162</v>
      </c>
      <c r="AJ81" s="188">
        <f t="shared" si="74"/>
        <v>0</v>
      </c>
      <c r="AK81" s="188">
        <f t="shared" si="74"/>
        <v>0</v>
      </c>
      <c r="AL81" s="188">
        <f t="shared" si="74"/>
        <v>0</v>
      </c>
      <c r="AM81" s="189">
        <f t="shared" si="75"/>
        <v>38775.229357798162</v>
      </c>
    </row>
    <row r="82" spans="1:40" ht="14.25" customHeight="1">
      <c r="A82" s="198"/>
      <c r="B82" s="162" t="s">
        <v>130</v>
      </c>
      <c r="C82" s="137" t="s">
        <v>131</v>
      </c>
      <c r="D82" s="138">
        <v>1400000</v>
      </c>
      <c r="E82" s="137">
        <v>4</v>
      </c>
      <c r="F82" s="139">
        <f t="shared" si="63"/>
        <v>5600000</v>
      </c>
      <c r="G82" s="152">
        <v>4</v>
      </c>
      <c r="H82" s="144">
        <f t="shared" si="76"/>
        <v>5880000</v>
      </c>
      <c r="I82" s="152">
        <v>4</v>
      </c>
      <c r="J82" s="144">
        <f t="shared" si="77"/>
        <v>6174000</v>
      </c>
      <c r="K82" s="152">
        <v>4</v>
      </c>
      <c r="L82" s="144">
        <f>D82*K82*($L$5)^3</f>
        <v>6482700.0000000009</v>
      </c>
      <c r="M82" s="145">
        <f t="shared" si="78"/>
        <v>16</v>
      </c>
      <c r="N82" s="146">
        <f t="shared" si="79"/>
        <v>24136700</v>
      </c>
      <c r="O82" s="141" t="b">
        <f t="shared" si="62"/>
        <v>1</v>
      </c>
      <c r="P82" s="131"/>
      <c r="S82" s="182">
        <f t="shared" si="64"/>
        <v>5600000</v>
      </c>
      <c r="T82" s="183" t="s">
        <v>76</v>
      </c>
      <c r="U82" s="184">
        <f t="shared" si="65"/>
        <v>5880000</v>
      </c>
      <c r="V82" s="183" t="s">
        <v>77</v>
      </c>
      <c r="W82" s="184">
        <f t="shared" si="66"/>
        <v>6174000</v>
      </c>
      <c r="X82" s="183" t="s">
        <v>78</v>
      </c>
      <c r="Y82" s="184">
        <f t="shared" si="67"/>
        <v>6482700.0000000009</v>
      </c>
      <c r="Z82" s="183" t="s">
        <v>79</v>
      </c>
      <c r="AA82" s="185">
        <f t="shared" si="68"/>
        <v>24136700</v>
      </c>
      <c r="AB82" s="42">
        <f t="shared" si="57"/>
        <v>0</v>
      </c>
      <c r="AC82" s="186">
        <f t="shared" si="69"/>
        <v>2568.8073394495414</v>
      </c>
      <c r="AD82" s="184">
        <f t="shared" si="70"/>
        <v>2697.2477064220184</v>
      </c>
      <c r="AE82" s="184">
        <f t="shared" si="71"/>
        <v>2832.1100917431195</v>
      </c>
      <c r="AF82" s="184">
        <f t="shared" si="72"/>
        <v>2973.7155963302757</v>
      </c>
      <c r="AG82" s="185">
        <f t="shared" si="73"/>
        <v>11071.880733944956</v>
      </c>
      <c r="AI82" s="187">
        <f t="shared" si="74"/>
        <v>21714.128440366971</v>
      </c>
      <c r="AJ82" s="188">
        <f t="shared" si="74"/>
        <v>22799.83486238532</v>
      </c>
      <c r="AK82" s="188">
        <f t="shared" si="74"/>
        <v>23939.826605504586</v>
      </c>
      <c r="AL82" s="188">
        <f t="shared" si="74"/>
        <v>25136.817935779818</v>
      </c>
      <c r="AM82" s="189">
        <f t="shared" si="75"/>
        <v>93590.607844036698</v>
      </c>
    </row>
    <row r="83" spans="1:40" ht="14.25" customHeight="1">
      <c r="A83" s="198"/>
      <c r="B83" s="151" t="s">
        <v>132</v>
      </c>
      <c r="C83" s="137" t="s">
        <v>133</v>
      </c>
      <c r="D83" s="138">
        <v>16000000</v>
      </c>
      <c r="E83" s="137">
        <v>0</v>
      </c>
      <c r="F83" s="139">
        <f t="shared" si="63"/>
        <v>0</v>
      </c>
      <c r="G83" s="152">
        <v>1</v>
      </c>
      <c r="H83" s="144">
        <f t="shared" si="76"/>
        <v>16800000</v>
      </c>
      <c r="I83" s="152">
        <v>0</v>
      </c>
      <c r="J83" s="144">
        <f t="shared" si="77"/>
        <v>0</v>
      </c>
      <c r="K83" s="152">
        <v>1</v>
      </c>
      <c r="L83" s="144">
        <f>D83*K83*($L$5)^3</f>
        <v>18522000.000000004</v>
      </c>
      <c r="M83" s="145">
        <f t="shared" si="78"/>
        <v>2</v>
      </c>
      <c r="N83" s="146">
        <f t="shared" si="79"/>
        <v>35322000</v>
      </c>
      <c r="O83" s="141" t="b">
        <f t="shared" si="62"/>
        <v>1</v>
      </c>
      <c r="P83" s="131"/>
      <c r="S83" s="182">
        <f t="shared" si="64"/>
        <v>0</v>
      </c>
      <c r="T83" s="183" t="s">
        <v>76</v>
      </c>
      <c r="U83" s="184">
        <f t="shared" si="65"/>
        <v>16800000</v>
      </c>
      <c r="V83" s="183" t="s">
        <v>77</v>
      </c>
      <c r="W83" s="184">
        <f t="shared" si="66"/>
        <v>0</v>
      </c>
      <c r="X83" s="183" t="s">
        <v>78</v>
      </c>
      <c r="Y83" s="184">
        <f t="shared" si="67"/>
        <v>18522000.000000004</v>
      </c>
      <c r="Z83" s="183" t="s">
        <v>79</v>
      </c>
      <c r="AA83" s="185">
        <f t="shared" si="68"/>
        <v>35322000</v>
      </c>
      <c r="AB83" s="42">
        <f t="shared" si="57"/>
        <v>0</v>
      </c>
      <c r="AC83" s="186">
        <f t="shared" si="69"/>
        <v>0</v>
      </c>
      <c r="AD83" s="184">
        <f t="shared" si="70"/>
        <v>7706.4220183486241</v>
      </c>
      <c r="AE83" s="184">
        <f t="shared" si="71"/>
        <v>0</v>
      </c>
      <c r="AF83" s="184">
        <f t="shared" si="72"/>
        <v>8496.3302752293603</v>
      </c>
      <c r="AG83" s="185">
        <f t="shared" si="73"/>
        <v>16202.752293577985</v>
      </c>
      <c r="AI83" s="187">
        <f t="shared" si="74"/>
        <v>0</v>
      </c>
      <c r="AJ83" s="188">
        <f t="shared" si="74"/>
        <v>65142.385321100912</v>
      </c>
      <c r="AK83" s="188">
        <f t="shared" si="74"/>
        <v>0</v>
      </c>
      <c r="AL83" s="188">
        <f t="shared" si="74"/>
        <v>71819.479816513776</v>
      </c>
      <c r="AM83" s="189">
        <f t="shared" si="75"/>
        <v>136961.86513761469</v>
      </c>
    </row>
    <row r="84" spans="1:40" ht="14.25" customHeight="1">
      <c r="A84" s="198"/>
      <c r="B84" s="151" t="s">
        <v>108</v>
      </c>
      <c r="C84" s="137" t="s">
        <v>129</v>
      </c>
      <c r="D84" s="138">
        <v>10000000</v>
      </c>
      <c r="E84" s="137"/>
      <c r="F84" s="139">
        <f t="shared" si="63"/>
        <v>0</v>
      </c>
      <c r="G84" s="152">
        <v>0</v>
      </c>
      <c r="H84" s="144">
        <f>G84*D84*($H$5)^1</f>
        <v>0</v>
      </c>
      <c r="I84" s="152">
        <v>1</v>
      </c>
      <c r="J84" s="144">
        <f>D84*I84*($J$5)^2</f>
        <v>11025000</v>
      </c>
      <c r="K84" s="152"/>
      <c r="L84" s="144">
        <f>D84*K84*($L$5)^3</f>
        <v>0</v>
      </c>
      <c r="M84" s="145">
        <f>+E84+G84+I84+K84</f>
        <v>1</v>
      </c>
      <c r="N84" s="146">
        <f>L84+J84+H84+F84</f>
        <v>11025000</v>
      </c>
      <c r="O84" s="141" t="b">
        <f t="shared" si="62"/>
        <v>1</v>
      </c>
      <c r="P84" s="131"/>
      <c r="S84" s="182">
        <f t="shared" si="64"/>
        <v>0</v>
      </c>
      <c r="T84" s="183" t="s">
        <v>76</v>
      </c>
      <c r="U84" s="184">
        <f t="shared" si="65"/>
        <v>0</v>
      </c>
      <c r="V84" s="183" t="s">
        <v>77</v>
      </c>
      <c r="W84" s="184">
        <f t="shared" si="66"/>
        <v>11025000</v>
      </c>
      <c r="X84" s="183" t="s">
        <v>78</v>
      </c>
      <c r="Y84" s="184">
        <f t="shared" si="67"/>
        <v>0</v>
      </c>
      <c r="Z84" s="183" t="s">
        <v>79</v>
      </c>
      <c r="AA84" s="185">
        <f t="shared" si="68"/>
        <v>11025000</v>
      </c>
      <c r="AB84" s="42">
        <f t="shared" si="57"/>
        <v>0</v>
      </c>
      <c r="AC84" s="186">
        <f t="shared" si="69"/>
        <v>0</v>
      </c>
      <c r="AD84" s="184">
        <f t="shared" si="70"/>
        <v>0</v>
      </c>
      <c r="AE84" s="184">
        <f t="shared" si="71"/>
        <v>5057.339449541284</v>
      </c>
      <c r="AF84" s="184">
        <f t="shared" si="72"/>
        <v>0</v>
      </c>
      <c r="AG84" s="185">
        <f t="shared" si="73"/>
        <v>5057.339449541284</v>
      </c>
      <c r="AI84" s="187">
        <f t="shared" si="74"/>
        <v>0</v>
      </c>
      <c r="AJ84" s="188">
        <f t="shared" si="74"/>
        <v>0</v>
      </c>
      <c r="AK84" s="188">
        <f t="shared" si="74"/>
        <v>42749.690366972471</v>
      </c>
      <c r="AL84" s="188">
        <f t="shared" si="74"/>
        <v>0</v>
      </c>
      <c r="AM84" s="189">
        <f t="shared" si="75"/>
        <v>42749.690366972471</v>
      </c>
    </row>
    <row r="85" spans="1:40" ht="14.25" customHeight="1">
      <c r="A85" s="198"/>
      <c r="B85" s="151" t="s">
        <v>109</v>
      </c>
      <c r="C85" s="137" t="s">
        <v>129</v>
      </c>
      <c r="D85" s="138">
        <v>10000000</v>
      </c>
      <c r="E85" s="137"/>
      <c r="F85" s="139">
        <f t="shared" si="63"/>
        <v>0</v>
      </c>
      <c r="G85" s="152"/>
      <c r="H85" s="144">
        <f t="shared" si="76"/>
        <v>0</v>
      </c>
      <c r="I85" s="152"/>
      <c r="J85" s="144">
        <f t="shared" si="77"/>
        <v>0</v>
      </c>
      <c r="K85" s="152">
        <v>1</v>
      </c>
      <c r="L85" s="144">
        <f>D85*K85*($L$5)^3</f>
        <v>11576250.000000002</v>
      </c>
      <c r="M85" s="145">
        <f t="shared" si="78"/>
        <v>1</v>
      </c>
      <c r="N85" s="146">
        <f t="shared" si="79"/>
        <v>11576250.000000002</v>
      </c>
      <c r="O85" s="141" t="b">
        <f t="shared" si="62"/>
        <v>1</v>
      </c>
      <c r="P85" s="131"/>
      <c r="S85" s="182">
        <f t="shared" si="64"/>
        <v>0</v>
      </c>
      <c r="T85" s="183" t="s">
        <v>76</v>
      </c>
      <c r="U85" s="184">
        <f t="shared" si="65"/>
        <v>0</v>
      </c>
      <c r="V85" s="183" t="s">
        <v>77</v>
      </c>
      <c r="W85" s="184">
        <f t="shared" si="66"/>
        <v>0</v>
      </c>
      <c r="X85" s="183" t="s">
        <v>78</v>
      </c>
      <c r="Y85" s="184">
        <f t="shared" si="67"/>
        <v>11576250.000000002</v>
      </c>
      <c r="Z85" s="183" t="s">
        <v>79</v>
      </c>
      <c r="AA85" s="185">
        <f t="shared" si="68"/>
        <v>11576250.000000002</v>
      </c>
      <c r="AB85" s="42">
        <f t="shared" si="57"/>
        <v>0</v>
      </c>
      <c r="AC85" s="186">
        <f t="shared" si="69"/>
        <v>0</v>
      </c>
      <c r="AD85" s="184">
        <f t="shared" si="70"/>
        <v>0</v>
      </c>
      <c r="AE85" s="184">
        <f t="shared" si="71"/>
        <v>0</v>
      </c>
      <c r="AF85" s="184">
        <f t="shared" si="72"/>
        <v>5310.2064220183493</v>
      </c>
      <c r="AG85" s="185">
        <f t="shared" si="73"/>
        <v>5310.2064220183493</v>
      </c>
      <c r="AI85" s="187">
        <f t="shared" si="74"/>
        <v>0</v>
      </c>
      <c r="AJ85" s="188">
        <f t="shared" si="74"/>
        <v>0</v>
      </c>
      <c r="AK85" s="188">
        <f t="shared" si="74"/>
        <v>0</v>
      </c>
      <c r="AL85" s="188">
        <f t="shared" si="74"/>
        <v>44887.174885321103</v>
      </c>
      <c r="AM85" s="189">
        <f t="shared" si="75"/>
        <v>44887.174885321103</v>
      </c>
    </row>
    <row r="86" spans="1:40" ht="14.25" customHeight="1">
      <c r="A86" s="198"/>
      <c r="B86" s="151" t="s">
        <v>134</v>
      </c>
      <c r="C86" s="137" t="s">
        <v>135</v>
      </c>
      <c r="D86" s="138">
        <v>6500000</v>
      </c>
      <c r="E86" s="137">
        <v>1</v>
      </c>
      <c r="F86" s="139">
        <f t="shared" si="63"/>
        <v>6500000</v>
      </c>
      <c r="G86" s="152">
        <v>1</v>
      </c>
      <c r="H86" s="144">
        <f t="shared" si="76"/>
        <v>6825000</v>
      </c>
      <c r="I86" s="152">
        <v>1</v>
      </c>
      <c r="J86" s="144">
        <f t="shared" si="77"/>
        <v>7166250</v>
      </c>
      <c r="K86" s="152">
        <v>1</v>
      </c>
      <c r="L86" s="144">
        <f>F86*K86*($L$5)^3</f>
        <v>7524562.5000000009</v>
      </c>
      <c r="M86" s="145">
        <f t="shared" si="78"/>
        <v>4</v>
      </c>
      <c r="N86" s="146">
        <f t="shared" si="79"/>
        <v>28015812.5</v>
      </c>
      <c r="O86" s="141" t="b">
        <f t="shared" si="62"/>
        <v>1</v>
      </c>
      <c r="P86" s="131"/>
      <c r="S86" s="182">
        <f t="shared" si="64"/>
        <v>6500000</v>
      </c>
      <c r="T86" s="183" t="s">
        <v>76</v>
      </c>
      <c r="U86" s="184">
        <f t="shared" si="65"/>
        <v>6825000</v>
      </c>
      <c r="V86" s="183" t="s">
        <v>77</v>
      </c>
      <c r="W86" s="184">
        <f t="shared" si="66"/>
        <v>7166250</v>
      </c>
      <c r="X86" s="183" t="s">
        <v>78</v>
      </c>
      <c r="Y86" s="184">
        <f t="shared" si="67"/>
        <v>7524562.5000000009</v>
      </c>
      <c r="Z86" s="183" t="s">
        <v>79</v>
      </c>
      <c r="AA86" s="185">
        <f t="shared" si="68"/>
        <v>28015812.5</v>
      </c>
      <c r="AB86" s="42">
        <f t="shared" si="57"/>
        <v>0</v>
      </c>
      <c r="AC86" s="186">
        <f t="shared" si="69"/>
        <v>2981.6513761467891</v>
      </c>
      <c r="AD86" s="184">
        <f t="shared" si="70"/>
        <v>3130.7339449541282</v>
      </c>
      <c r="AE86" s="184">
        <f t="shared" si="71"/>
        <v>3287.270642201835</v>
      </c>
      <c r="AF86" s="184">
        <f t="shared" si="72"/>
        <v>3451.6341743119269</v>
      </c>
      <c r="AG86" s="185">
        <f t="shared" si="73"/>
        <v>12851.290137614678</v>
      </c>
      <c r="AI86" s="187">
        <f t="shared" si="74"/>
        <v>25203.899082568805</v>
      </c>
      <c r="AJ86" s="188">
        <f t="shared" si="74"/>
        <v>26464.094036697243</v>
      </c>
      <c r="AK86" s="188">
        <f t="shared" si="74"/>
        <v>27787.29873853211</v>
      </c>
      <c r="AL86" s="188">
        <f t="shared" si="74"/>
        <v>29176.663675458716</v>
      </c>
      <c r="AM86" s="189">
        <f t="shared" si="75"/>
        <v>108631.95553325687</v>
      </c>
      <c r="AN86" s="47"/>
    </row>
    <row r="87" spans="1:40" s="19" customFormat="1" ht="14.25" customHeight="1">
      <c r="B87" s="377" t="s">
        <v>136</v>
      </c>
      <c r="C87" s="378"/>
      <c r="D87" s="379"/>
      <c r="E87" s="380"/>
      <c r="F87" s="133">
        <f>SUM(F80:F86)</f>
        <v>27850000</v>
      </c>
      <c r="G87" s="378"/>
      <c r="H87" s="133">
        <f>SUM(H80:H86)</f>
        <v>29505000</v>
      </c>
      <c r="I87" s="378"/>
      <c r="J87" s="133">
        <f>SUM(J80:J86)</f>
        <v>24365250</v>
      </c>
      <c r="K87" s="378"/>
      <c r="L87" s="133">
        <f>SUM(L80:L86)</f>
        <v>44105512.500000007</v>
      </c>
      <c r="M87" s="378"/>
      <c r="N87" s="133">
        <f>SUM(N80:N86)</f>
        <v>125825762.5</v>
      </c>
      <c r="O87" s="141" t="b">
        <f t="shared" si="62"/>
        <v>0</v>
      </c>
      <c r="P87" s="163">
        <f>SUM(P80:P86)</f>
        <v>0</v>
      </c>
      <c r="Q87" s="41"/>
      <c r="R87" s="41"/>
      <c r="S87" s="133">
        <f>SUM(S80:S86)</f>
        <v>27850000</v>
      </c>
      <c r="T87" s="183" t="s">
        <v>76</v>
      </c>
      <c r="U87" s="133">
        <f>SUM(U80:U86)</f>
        <v>29505000</v>
      </c>
      <c r="V87" s="183" t="s">
        <v>77</v>
      </c>
      <c r="W87" s="133">
        <f>SUM(W80:W86)</f>
        <v>24365250</v>
      </c>
      <c r="X87" s="183" t="s">
        <v>78</v>
      </c>
      <c r="Y87" s="133">
        <f>SUM(Y80:Y86)</f>
        <v>44105512.500000007</v>
      </c>
      <c r="Z87" s="183" t="s">
        <v>79</v>
      </c>
      <c r="AA87" s="133">
        <f>SUM(AA80:AA86)</f>
        <v>125825762.5</v>
      </c>
      <c r="AB87" s="42">
        <f t="shared" si="57"/>
        <v>0</v>
      </c>
      <c r="AC87" s="133">
        <f t="shared" ref="AC87:AM87" si="80">SUM(AC80:AC86)</f>
        <v>12775.229357798164</v>
      </c>
      <c r="AD87" s="133">
        <f t="shared" si="80"/>
        <v>13534.403669724772</v>
      </c>
      <c r="AE87" s="133">
        <f t="shared" si="80"/>
        <v>11176.720183486239</v>
      </c>
      <c r="AF87" s="133">
        <f t="shared" si="80"/>
        <v>20231.886467889912</v>
      </c>
      <c r="AG87" s="133">
        <f t="shared" si="80"/>
        <v>57718.239678899088</v>
      </c>
      <c r="AH87" s="133">
        <f t="shared" si="80"/>
        <v>0</v>
      </c>
      <c r="AI87" s="133">
        <f t="shared" si="80"/>
        <v>107989.01376146788</v>
      </c>
      <c r="AJ87" s="133">
        <f t="shared" si="80"/>
        <v>114406.31422018347</v>
      </c>
      <c r="AK87" s="133">
        <f t="shared" si="80"/>
        <v>94476.815711009171</v>
      </c>
      <c r="AL87" s="133">
        <f t="shared" si="80"/>
        <v>171020.13631307342</v>
      </c>
      <c r="AM87" s="133">
        <f t="shared" si="80"/>
        <v>487892.28000573395</v>
      </c>
    </row>
    <row r="88" spans="1:40" ht="14.25" customHeight="1">
      <c r="B88" s="164"/>
      <c r="C88" s="137"/>
      <c r="D88" s="138"/>
      <c r="E88" s="137"/>
      <c r="F88" s="139"/>
      <c r="G88" s="137"/>
      <c r="H88" s="139"/>
      <c r="I88" s="137"/>
      <c r="J88" s="139"/>
      <c r="K88" s="137"/>
      <c r="L88" s="139"/>
      <c r="M88" s="141"/>
      <c r="N88" s="138"/>
      <c r="O88" s="141" t="b">
        <f t="shared" si="62"/>
        <v>1</v>
      </c>
      <c r="P88" s="131"/>
      <c r="S88" s="334"/>
      <c r="T88" s="183" t="s">
        <v>76</v>
      </c>
      <c r="U88" s="335"/>
      <c r="V88" s="183" t="s">
        <v>77</v>
      </c>
      <c r="W88" s="335"/>
      <c r="X88" s="183" t="s">
        <v>78</v>
      </c>
      <c r="Y88" s="335"/>
      <c r="Z88" s="183" t="s">
        <v>79</v>
      </c>
      <c r="AA88" s="336"/>
      <c r="AB88" s="42">
        <f t="shared" si="57"/>
        <v>0</v>
      </c>
      <c r="AC88" s="337"/>
      <c r="AD88" s="338"/>
      <c r="AE88" s="338"/>
      <c r="AF88" s="338"/>
      <c r="AG88" s="339"/>
      <c r="AI88" s="340"/>
      <c r="AJ88" s="341"/>
      <c r="AK88" s="341"/>
      <c r="AL88" s="341"/>
      <c r="AM88" s="342"/>
    </row>
    <row r="89" spans="1:40" s="1" customFormat="1" ht="14.25" customHeight="1">
      <c r="B89" s="132" t="s">
        <v>137</v>
      </c>
      <c r="C89" s="127"/>
      <c r="D89" s="133"/>
      <c r="E89" s="133"/>
      <c r="F89" s="133"/>
      <c r="G89" s="125"/>
      <c r="H89" s="133"/>
      <c r="I89" s="125"/>
      <c r="J89" s="133"/>
      <c r="K89" s="125"/>
      <c r="L89" s="133"/>
      <c r="M89" s="125"/>
      <c r="N89" s="133"/>
      <c r="O89" s="141" t="b">
        <f t="shared" si="62"/>
        <v>1</v>
      </c>
      <c r="P89" s="134"/>
      <c r="Q89" s="17"/>
      <c r="R89" s="4"/>
      <c r="S89" s="343"/>
      <c r="T89" s="183" t="s">
        <v>76</v>
      </c>
      <c r="U89" s="343"/>
      <c r="V89" s="183" t="s">
        <v>77</v>
      </c>
      <c r="W89" s="343"/>
      <c r="X89" s="183" t="s">
        <v>78</v>
      </c>
      <c r="Y89" s="343"/>
      <c r="Z89" s="183" t="s">
        <v>79</v>
      </c>
      <c r="AA89" s="344"/>
      <c r="AB89" s="42">
        <f t="shared" si="57"/>
        <v>0</v>
      </c>
      <c r="AC89" s="316" t="e">
        <f>AC91+AC106+AC116</f>
        <v>#REF!</v>
      </c>
      <c r="AD89" s="345" t="e">
        <f>AD91+AD106+AD116</f>
        <v>#REF!</v>
      </c>
      <c r="AE89" s="345" t="e">
        <f>AE91+AE106+AE116</f>
        <v>#REF!</v>
      </c>
      <c r="AF89" s="345" t="e">
        <f>AF91+AF106+AF116</f>
        <v>#REF!</v>
      </c>
      <c r="AG89" s="345" t="e">
        <f>AG91+AG106+AG116</f>
        <v>#REF!</v>
      </c>
      <c r="AH89" s="17"/>
      <c r="AI89" s="346" t="e">
        <f>AI91+AI106+AI116</f>
        <v>#REF!</v>
      </c>
      <c r="AJ89" s="346" t="e">
        <f>AJ91+AJ106+AJ116</f>
        <v>#REF!</v>
      </c>
      <c r="AK89" s="346" t="e">
        <f>AK91+AK106+AK116</f>
        <v>#REF!</v>
      </c>
      <c r="AL89" s="346" t="e">
        <f>AL91+AL106+AL116</f>
        <v>#REF!</v>
      </c>
      <c r="AM89" s="346" t="e">
        <f>AM91+AM106+AM116</f>
        <v>#REF!</v>
      </c>
    </row>
    <row r="90" spans="1:40" s="1" customFormat="1" ht="14.25" customHeight="1">
      <c r="B90" s="150" t="s">
        <v>75</v>
      </c>
      <c r="C90" s="127"/>
      <c r="D90" s="133"/>
      <c r="E90" s="135"/>
      <c r="F90" s="135"/>
      <c r="G90" s="126"/>
      <c r="H90" s="135"/>
      <c r="I90" s="126"/>
      <c r="J90" s="135"/>
      <c r="K90" s="126"/>
      <c r="L90" s="135"/>
      <c r="M90" s="126"/>
      <c r="N90" s="135"/>
      <c r="O90" s="141" t="b">
        <f t="shared" si="62"/>
        <v>1</v>
      </c>
      <c r="P90" s="136"/>
      <c r="Q90" s="17"/>
      <c r="R90" s="4"/>
      <c r="S90" s="300"/>
      <c r="T90" s="183" t="s">
        <v>76</v>
      </c>
      <c r="U90" s="301"/>
      <c r="V90" s="183" t="s">
        <v>77</v>
      </c>
      <c r="W90" s="301"/>
      <c r="X90" s="183" t="s">
        <v>78</v>
      </c>
      <c r="Y90" s="301"/>
      <c r="Z90" s="183" t="s">
        <v>79</v>
      </c>
      <c r="AA90" s="302"/>
      <c r="AB90" s="42">
        <f t="shared" si="57"/>
        <v>0</v>
      </c>
      <c r="AC90" s="303"/>
      <c r="AD90" s="304"/>
      <c r="AE90" s="304"/>
      <c r="AF90" s="304"/>
      <c r="AG90" s="305"/>
      <c r="AH90" s="17"/>
      <c r="AI90" s="306"/>
      <c r="AJ90" s="307"/>
      <c r="AK90" s="307"/>
      <c r="AL90" s="307"/>
      <c r="AM90" s="308"/>
    </row>
    <row r="91" spans="1:40" ht="31">
      <c r="B91" s="49" t="s">
        <v>138</v>
      </c>
      <c r="C91" s="165"/>
      <c r="D91" s="166"/>
      <c r="E91" s="381"/>
      <c r="F91" s="166">
        <f>SUM(F92:F105)</f>
        <v>13000000</v>
      </c>
      <c r="G91" s="381"/>
      <c r="H91" s="166">
        <f>SUM(H92:H105)</f>
        <v>13650000</v>
      </c>
      <c r="I91" s="381"/>
      <c r="J91" s="166">
        <f>SUM(J92:J105)</f>
        <v>14332500</v>
      </c>
      <c r="K91" s="381"/>
      <c r="L91" s="166">
        <f>SUM(L92:L105)</f>
        <v>3472875.0000000009</v>
      </c>
      <c r="M91" s="382"/>
      <c r="N91" s="166">
        <f>SUM(N92:N105)</f>
        <v>44455375</v>
      </c>
      <c r="O91" s="141" t="b">
        <f t="shared" si="62"/>
        <v>0</v>
      </c>
      <c r="P91" s="167"/>
      <c r="S91" s="383" t="e">
        <f>#REF!+#REF!</f>
        <v>#REF!</v>
      </c>
      <c r="T91" s="183" t="s">
        <v>76</v>
      </c>
      <c r="U91" s="383">
        <f t="shared" ref="U91:U105" si="81">H91</f>
        <v>13650000</v>
      </c>
      <c r="V91" s="183" t="s">
        <v>77</v>
      </c>
      <c r="W91" s="383">
        <f t="shared" ref="W91:W105" si="82">J91</f>
        <v>14332500</v>
      </c>
      <c r="X91" s="183" t="s">
        <v>78</v>
      </c>
      <c r="Y91" s="383">
        <f t="shared" ref="Y91:Y105" si="83">L91</f>
        <v>3472875.0000000009</v>
      </c>
      <c r="Z91" s="183" t="s">
        <v>79</v>
      </c>
      <c r="AA91" s="384" t="e">
        <f t="shared" ref="AA91:AA105" si="84">SUM(S91:Y91)</f>
        <v>#REF!</v>
      </c>
      <c r="AB91" s="42" t="e">
        <f t="shared" si="57"/>
        <v>#REF!</v>
      </c>
      <c r="AC91" s="385" t="e">
        <f t="shared" ref="AC91:AC105" si="85">S91/$AE$4</f>
        <v>#REF!</v>
      </c>
      <c r="AD91" s="386">
        <f t="shared" ref="AD91:AD105" si="86">U91/$AE$4</f>
        <v>6261.4678899082564</v>
      </c>
      <c r="AE91" s="386">
        <f t="shared" ref="AE91:AE105" si="87">W91/$AE$4</f>
        <v>6574.54128440367</v>
      </c>
      <c r="AF91" s="386">
        <f t="shared" ref="AF91:AF105" si="88">Y91/$AE$4</f>
        <v>1593.0619266055051</v>
      </c>
      <c r="AG91" s="386" t="e">
        <f t="shared" ref="AG91:AG105" si="89">SUM(AC91:AF91)</f>
        <v>#REF!</v>
      </c>
      <c r="AI91" s="386" t="e">
        <f>AC91*$AK$4</f>
        <v>#REF!</v>
      </c>
      <c r="AJ91" s="386">
        <f>AD91*$AK$4</f>
        <v>52928.188073394485</v>
      </c>
      <c r="AK91" s="386">
        <f>AE91*$AK$4</f>
        <v>55574.597477064221</v>
      </c>
      <c r="AL91" s="386">
        <f>AF91*$AK$4</f>
        <v>13466.152465596333</v>
      </c>
      <c r="AM91" s="386" t="e">
        <f t="shared" ref="AM91:AM105" si="90">SUM(AI91:AL91)</f>
        <v>#REF!</v>
      </c>
    </row>
    <row r="92" spans="1:40" s="4" customFormat="1" ht="18.5">
      <c r="A92" s="198"/>
      <c r="B92" s="147" t="s">
        <v>139</v>
      </c>
      <c r="C92" s="137" t="s">
        <v>140</v>
      </c>
      <c r="D92" s="138">
        <v>1000000</v>
      </c>
      <c r="E92" s="137">
        <v>2</v>
      </c>
      <c r="F92" s="139">
        <f>E92*D92</f>
        <v>2000000</v>
      </c>
      <c r="G92" s="152">
        <v>2</v>
      </c>
      <c r="H92" s="144">
        <f>G92*D92*($H$5)^1</f>
        <v>2100000</v>
      </c>
      <c r="I92" s="152">
        <v>2</v>
      </c>
      <c r="J92" s="144">
        <f>D92*I92*($J$5)^2</f>
        <v>2205000</v>
      </c>
      <c r="K92" s="152">
        <v>2</v>
      </c>
      <c r="L92" s="144">
        <f>D92*K92*($L$5)^3</f>
        <v>2315250.0000000005</v>
      </c>
      <c r="M92" s="145">
        <f>+E92+G92+I92+K92</f>
        <v>8</v>
      </c>
      <c r="N92" s="146">
        <f>L92+J92+H92+F92</f>
        <v>8620250</v>
      </c>
      <c r="O92" s="141" t="b">
        <f t="shared" si="62"/>
        <v>1</v>
      </c>
      <c r="P92" s="131"/>
      <c r="S92" s="182">
        <f t="shared" ref="S92:S105" si="91">F92</f>
        <v>2000000</v>
      </c>
      <c r="T92" s="183" t="s">
        <v>76</v>
      </c>
      <c r="U92" s="184">
        <f t="shared" si="81"/>
        <v>2100000</v>
      </c>
      <c r="V92" s="183" t="s">
        <v>77</v>
      </c>
      <c r="W92" s="184">
        <f t="shared" si="82"/>
        <v>2205000</v>
      </c>
      <c r="X92" s="183" t="s">
        <v>78</v>
      </c>
      <c r="Y92" s="184">
        <f t="shared" si="83"/>
        <v>2315250.0000000005</v>
      </c>
      <c r="Z92" s="183" t="s">
        <v>79</v>
      </c>
      <c r="AA92" s="185">
        <f t="shared" si="84"/>
        <v>8620250</v>
      </c>
      <c r="AB92" s="42">
        <f t="shared" si="57"/>
        <v>0</v>
      </c>
      <c r="AC92" s="186">
        <f t="shared" si="85"/>
        <v>917.43119266055044</v>
      </c>
      <c r="AD92" s="184">
        <f t="shared" si="86"/>
        <v>963.30275229357801</v>
      </c>
      <c r="AE92" s="184">
        <f t="shared" si="87"/>
        <v>1011.4678899082569</v>
      </c>
      <c r="AF92" s="184">
        <f t="shared" si="88"/>
        <v>1062.04128440367</v>
      </c>
      <c r="AG92" s="185">
        <f t="shared" si="89"/>
        <v>3954.2431192660551</v>
      </c>
      <c r="AI92" s="187">
        <f t="shared" ref="AI92:AL105" si="92">AC92*$AK$4</f>
        <v>7755.0458715596324</v>
      </c>
      <c r="AJ92" s="188">
        <f t="shared" si="92"/>
        <v>8142.798165137614</v>
      </c>
      <c r="AK92" s="188">
        <f t="shared" si="92"/>
        <v>8549.9380733944945</v>
      </c>
      <c r="AL92" s="188">
        <f t="shared" si="92"/>
        <v>8977.434977064222</v>
      </c>
      <c r="AM92" s="189">
        <f t="shared" si="90"/>
        <v>33425.217087155965</v>
      </c>
      <c r="AN92" s="48"/>
    </row>
    <row r="93" spans="1:40" s="4" customFormat="1" ht="14.25" customHeight="1">
      <c r="B93" s="147" t="s">
        <v>141</v>
      </c>
      <c r="C93" s="137"/>
      <c r="D93" s="138"/>
      <c r="E93" s="137"/>
      <c r="F93" s="139"/>
      <c r="G93" s="152"/>
      <c r="H93" s="144"/>
      <c r="I93" s="152"/>
      <c r="J93" s="144"/>
      <c r="K93" s="152"/>
      <c r="L93" s="144"/>
      <c r="M93" s="145"/>
      <c r="N93" s="146"/>
      <c r="O93" s="141" t="b">
        <f t="shared" si="62"/>
        <v>1</v>
      </c>
      <c r="P93" s="131"/>
      <c r="S93" s="182">
        <f t="shared" si="91"/>
        <v>0</v>
      </c>
      <c r="T93" s="183" t="s">
        <v>76</v>
      </c>
      <c r="U93" s="184">
        <f t="shared" si="81"/>
        <v>0</v>
      </c>
      <c r="V93" s="183" t="s">
        <v>77</v>
      </c>
      <c r="W93" s="184">
        <f t="shared" si="82"/>
        <v>0</v>
      </c>
      <c r="X93" s="183" t="s">
        <v>78</v>
      </c>
      <c r="Y93" s="184">
        <f t="shared" si="83"/>
        <v>0</v>
      </c>
      <c r="Z93" s="183" t="s">
        <v>79</v>
      </c>
      <c r="AA93" s="185">
        <f t="shared" si="84"/>
        <v>0</v>
      </c>
      <c r="AB93" s="42">
        <f t="shared" si="57"/>
        <v>0</v>
      </c>
      <c r="AC93" s="186">
        <f t="shared" si="85"/>
        <v>0</v>
      </c>
      <c r="AD93" s="184">
        <f t="shared" si="86"/>
        <v>0</v>
      </c>
      <c r="AE93" s="184">
        <f t="shared" si="87"/>
        <v>0</v>
      </c>
      <c r="AF93" s="184">
        <f t="shared" si="88"/>
        <v>0</v>
      </c>
      <c r="AG93" s="185">
        <f t="shared" si="89"/>
        <v>0</v>
      </c>
      <c r="AI93" s="187">
        <f t="shared" si="92"/>
        <v>0</v>
      </c>
      <c r="AJ93" s="188">
        <f t="shared" si="92"/>
        <v>0</v>
      </c>
      <c r="AK93" s="188">
        <f t="shared" si="92"/>
        <v>0</v>
      </c>
      <c r="AL93" s="188">
        <f t="shared" si="92"/>
        <v>0</v>
      </c>
      <c r="AM93" s="189">
        <f t="shared" si="90"/>
        <v>0</v>
      </c>
    </row>
    <row r="94" spans="1:40" s="4" customFormat="1" ht="60" customHeight="1">
      <c r="A94" s="198"/>
      <c r="B94" s="147" t="s">
        <v>142</v>
      </c>
      <c r="C94" s="137" t="s">
        <v>140</v>
      </c>
      <c r="D94" s="138">
        <v>1000000</v>
      </c>
      <c r="E94" s="137">
        <v>1</v>
      </c>
      <c r="F94" s="139">
        <f>E94*D94</f>
        <v>1000000</v>
      </c>
      <c r="G94" s="152">
        <v>1</v>
      </c>
      <c r="H94" s="144">
        <f>G94*D94*($H$5)^1</f>
        <v>1050000</v>
      </c>
      <c r="I94" s="152">
        <v>1</v>
      </c>
      <c r="J94" s="144">
        <f>D94*I94*($J$5)^2</f>
        <v>1102500</v>
      </c>
      <c r="K94" s="152">
        <v>1</v>
      </c>
      <c r="L94" s="144">
        <f>D94*K94*($L$5)^3</f>
        <v>1157625.0000000002</v>
      </c>
      <c r="M94" s="145">
        <f>+E94+G94+I94+K94</f>
        <v>4</v>
      </c>
      <c r="N94" s="146">
        <f>L94+J94+H94+F94</f>
        <v>4310125</v>
      </c>
      <c r="O94" s="141" t="b">
        <f t="shared" si="62"/>
        <v>1</v>
      </c>
      <c r="P94" s="131"/>
      <c r="S94" s="182">
        <f t="shared" si="91"/>
        <v>1000000</v>
      </c>
      <c r="T94" s="183" t="s">
        <v>76</v>
      </c>
      <c r="U94" s="184">
        <f t="shared" si="81"/>
        <v>1050000</v>
      </c>
      <c r="V94" s="183" t="s">
        <v>77</v>
      </c>
      <c r="W94" s="184">
        <f t="shared" si="82"/>
        <v>1102500</v>
      </c>
      <c r="X94" s="183" t="s">
        <v>78</v>
      </c>
      <c r="Y94" s="184">
        <f t="shared" si="83"/>
        <v>1157625.0000000002</v>
      </c>
      <c r="Z94" s="183" t="s">
        <v>79</v>
      </c>
      <c r="AA94" s="185">
        <f t="shared" si="84"/>
        <v>4310125</v>
      </c>
      <c r="AB94" s="42">
        <f t="shared" si="57"/>
        <v>0</v>
      </c>
      <c r="AC94" s="186">
        <f t="shared" si="85"/>
        <v>458.71559633027522</v>
      </c>
      <c r="AD94" s="184">
        <f t="shared" si="86"/>
        <v>481.651376146789</v>
      </c>
      <c r="AE94" s="184">
        <f t="shared" si="87"/>
        <v>505.73394495412845</v>
      </c>
      <c r="AF94" s="184">
        <f t="shared" si="88"/>
        <v>531.02064220183502</v>
      </c>
      <c r="AG94" s="185">
        <f t="shared" si="89"/>
        <v>1977.1215596330276</v>
      </c>
      <c r="AI94" s="187">
        <f t="shared" si="92"/>
        <v>3877.5229357798162</v>
      </c>
      <c r="AJ94" s="188">
        <f t="shared" si="92"/>
        <v>4071.399082568807</v>
      </c>
      <c r="AK94" s="188">
        <f t="shared" si="92"/>
        <v>4274.9690366972472</v>
      </c>
      <c r="AL94" s="188">
        <f t="shared" si="92"/>
        <v>4488.717488532111</v>
      </c>
      <c r="AM94" s="189">
        <f t="shared" si="90"/>
        <v>16712.608543577982</v>
      </c>
      <c r="AN94" s="48"/>
    </row>
    <row r="95" spans="1:40" s="4" customFormat="1" ht="14.25" customHeight="1">
      <c r="B95" s="147" t="s">
        <v>143</v>
      </c>
      <c r="C95" s="137"/>
      <c r="D95" s="138"/>
      <c r="E95" s="137"/>
      <c r="F95" s="139"/>
      <c r="G95" s="152"/>
      <c r="H95" s="144"/>
      <c r="I95" s="152"/>
      <c r="J95" s="144"/>
      <c r="K95" s="152"/>
      <c r="L95" s="144"/>
      <c r="M95" s="145"/>
      <c r="N95" s="146"/>
      <c r="O95" s="141" t="b">
        <f t="shared" si="62"/>
        <v>1</v>
      </c>
      <c r="P95" s="131"/>
      <c r="S95" s="182">
        <f t="shared" si="91"/>
        <v>0</v>
      </c>
      <c r="T95" s="183" t="s">
        <v>76</v>
      </c>
      <c r="U95" s="184">
        <f t="shared" si="81"/>
        <v>0</v>
      </c>
      <c r="V95" s="183" t="s">
        <v>77</v>
      </c>
      <c r="W95" s="184">
        <f t="shared" si="82"/>
        <v>0</v>
      </c>
      <c r="X95" s="183" t="s">
        <v>78</v>
      </c>
      <c r="Y95" s="184">
        <f t="shared" si="83"/>
        <v>0</v>
      </c>
      <c r="Z95" s="183" t="s">
        <v>79</v>
      </c>
      <c r="AA95" s="185">
        <f t="shared" si="84"/>
        <v>0</v>
      </c>
      <c r="AB95" s="42">
        <f t="shared" si="57"/>
        <v>0</v>
      </c>
      <c r="AC95" s="186">
        <f t="shared" si="85"/>
        <v>0</v>
      </c>
      <c r="AD95" s="184">
        <f t="shared" si="86"/>
        <v>0</v>
      </c>
      <c r="AE95" s="184">
        <f t="shared" si="87"/>
        <v>0</v>
      </c>
      <c r="AF95" s="184">
        <f t="shared" si="88"/>
        <v>0</v>
      </c>
      <c r="AG95" s="185">
        <f t="shared" si="89"/>
        <v>0</v>
      </c>
      <c r="AI95" s="187">
        <f t="shared" si="92"/>
        <v>0</v>
      </c>
      <c r="AJ95" s="188">
        <f t="shared" si="92"/>
        <v>0</v>
      </c>
      <c r="AK95" s="188">
        <f t="shared" si="92"/>
        <v>0</v>
      </c>
      <c r="AL95" s="188">
        <f t="shared" si="92"/>
        <v>0</v>
      </c>
      <c r="AM95" s="189">
        <f t="shared" si="90"/>
        <v>0</v>
      </c>
    </row>
    <row r="96" spans="1:40" s="4" customFormat="1" ht="18.5">
      <c r="B96" s="147" t="s">
        <v>144</v>
      </c>
      <c r="C96" s="137"/>
      <c r="D96" s="138"/>
      <c r="E96" s="137">
        <v>1</v>
      </c>
      <c r="F96" s="139">
        <f>E96*D96</f>
        <v>0</v>
      </c>
      <c r="G96" s="152">
        <v>1</v>
      </c>
      <c r="H96" s="144">
        <f>G96*D96*($H$5)^1</f>
        <v>0</v>
      </c>
      <c r="I96" s="152">
        <v>1</v>
      </c>
      <c r="J96" s="144">
        <f>D96*I96*($J$5)^2</f>
        <v>0</v>
      </c>
      <c r="K96" s="152">
        <v>1</v>
      </c>
      <c r="L96" s="144">
        <f>D96*K96*($L$5)^3</f>
        <v>0</v>
      </c>
      <c r="M96" s="145">
        <f>+E96+G96+I96+K96</f>
        <v>4</v>
      </c>
      <c r="N96" s="146">
        <f>L96+J96+H96+F96</f>
        <v>0</v>
      </c>
      <c r="O96" s="141" t="b">
        <f t="shared" si="62"/>
        <v>1</v>
      </c>
      <c r="P96" s="131"/>
      <c r="S96" s="182">
        <f t="shared" si="91"/>
        <v>0</v>
      </c>
      <c r="T96" s="183" t="s">
        <v>76</v>
      </c>
      <c r="U96" s="184">
        <f t="shared" si="81"/>
        <v>0</v>
      </c>
      <c r="V96" s="183" t="s">
        <v>77</v>
      </c>
      <c r="W96" s="184">
        <f t="shared" si="82"/>
        <v>0</v>
      </c>
      <c r="X96" s="183" t="s">
        <v>78</v>
      </c>
      <c r="Y96" s="184">
        <f t="shared" si="83"/>
        <v>0</v>
      </c>
      <c r="Z96" s="183" t="s">
        <v>79</v>
      </c>
      <c r="AA96" s="185">
        <f t="shared" si="84"/>
        <v>0</v>
      </c>
      <c r="AB96" s="42">
        <f t="shared" si="57"/>
        <v>0</v>
      </c>
      <c r="AC96" s="186">
        <f t="shared" si="85"/>
        <v>0</v>
      </c>
      <c r="AD96" s="184">
        <f t="shared" si="86"/>
        <v>0</v>
      </c>
      <c r="AE96" s="184">
        <f t="shared" si="87"/>
        <v>0</v>
      </c>
      <c r="AF96" s="184">
        <f t="shared" si="88"/>
        <v>0</v>
      </c>
      <c r="AG96" s="185">
        <f t="shared" si="89"/>
        <v>0</v>
      </c>
      <c r="AI96" s="187">
        <f t="shared" si="92"/>
        <v>0</v>
      </c>
      <c r="AJ96" s="188">
        <f t="shared" si="92"/>
        <v>0</v>
      </c>
      <c r="AK96" s="188">
        <f t="shared" si="92"/>
        <v>0</v>
      </c>
      <c r="AL96" s="188">
        <f t="shared" si="92"/>
        <v>0</v>
      </c>
      <c r="AM96" s="189">
        <f t="shared" si="90"/>
        <v>0</v>
      </c>
    </row>
    <row r="97" spans="1:40" s="4" customFormat="1" ht="14.25" customHeight="1">
      <c r="B97" s="147" t="s">
        <v>145</v>
      </c>
      <c r="C97" s="137"/>
      <c r="D97" s="138"/>
      <c r="E97" s="137"/>
      <c r="F97" s="139"/>
      <c r="G97" s="152"/>
      <c r="H97" s="144"/>
      <c r="I97" s="152"/>
      <c r="J97" s="144"/>
      <c r="K97" s="152"/>
      <c r="L97" s="144"/>
      <c r="M97" s="145"/>
      <c r="N97" s="146"/>
      <c r="O97" s="141" t="b">
        <f t="shared" si="62"/>
        <v>1</v>
      </c>
      <c r="P97" s="131"/>
      <c r="S97" s="182">
        <f t="shared" si="91"/>
        <v>0</v>
      </c>
      <c r="T97" s="183" t="s">
        <v>76</v>
      </c>
      <c r="U97" s="184">
        <f t="shared" si="81"/>
        <v>0</v>
      </c>
      <c r="V97" s="183" t="s">
        <v>77</v>
      </c>
      <c r="W97" s="184">
        <f t="shared" si="82"/>
        <v>0</v>
      </c>
      <c r="X97" s="183" t="s">
        <v>78</v>
      </c>
      <c r="Y97" s="184">
        <f t="shared" si="83"/>
        <v>0</v>
      </c>
      <c r="Z97" s="183" t="s">
        <v>79</v>
      </c>
      <c r="AA97" s="185">
        <f t="shared" si="84"/>
        <v>0</v>
      </c>
      <c r="AB97" s="42">
        <f t="shared" si="57"/>
        <v>0</v>
      </c>
      <c r="AC97" s="186">
        <f t="shared" si="85"/>
        <v>0</v>
      </c>
      <c r="AD97" s="184">
        <f t="shared" si="86"/>
        <v>0</v>
      </c>
      <c r="AE97" s="184">
        <f t="shared" si="87"/>
        <v>0</v>
      </c>
      <c r="AF97" s="184">
        <f t="shared" si="88"/>
        <v>0</v>
      </c>
      <c r="AG97" s="185">
        <f t="shared" si="89"/>
        <v>0</v>
      </c>
      <c r="AI97" s="187">
        <f t="shared" si="92"/>
        <v>0</v>
      </c>
      <c r="AJ97" s="188">
        <f t="shared" si="92"/>
        <v>0</v>
      </c>
      <c r="AK97" s="188">
        <f t="shared" si="92"/>
        <v>0</v>
      </c>
      <c r="AL97" s="188">
        <f t="shared" si="92"/>
        <v>0</v>
      </c>
      <c r="AM97" s="189">
        <f t="shared" si="90"/>
        <v>0</v>
      </c>
    </row>
    <row r="98" spans="1:40" s="4" customFormat="1" ht="14.25" customHeight="1">
      <c r="B98" s="147" t="s">
        <v>146</v>
      </c>
      <c r="C98" s="137"/>
      <c r="D98" s="138"/>
      <c r="E98" s="137">
        <v>1</v>
      </c>
      <c r="F98" s="139">
        <f t="shared" ref="F98:F104" si="93">E98*D98</f>
        <v>0</v>
      </c>
      <c r="G98" s="152">
        <v>1</v>
      </c>
      <c r="H98" s="144">
        <f t="shared" ref="H98:H104" si="94">G98*D98*($H$5)^1</f>
        <v>0</v>
      </c>
      <c r="I98" s="152">
        <v>1</v>
      </c>
      <c r="J98" s="144">
        <f t="shared" ref="J98:J104" si="95">D98*I98*($J$5)^2</f>
        <v>0</v>
      </c>
      <c r="K98" s="152">
        <v>1</v>
      </c>
      <c r="L98" s="144">
        <f>F98*K98*($L$5)^3</f>
        <v>0</v>
      </c>
      <c r="M98" s="145">
        <f t="shared" ref="M98:M104" si="96">+E98+G98+I98+K98</f>
        <v>4</v>
      </c>
      <c r="N98" s="146">
        <f t="shared" ref="N98:N104" si="97">L98+J98+H98+F98</f>
        <v>0</v>
      </c>
      <c r="O98" s="141" t="b">
        <f t="shared" si="62"/>
        <v>1</v>
      </c>
      <c r="P98" s="131"/>
      <c r="S98" s="182">
        <f t="shared" si="91"/>
        <v>0</v>
      </c>
      <c r="T98" s="183" t="s">
        <v>76</v>
      </c>
      <c r="U98" s="184">
        <f t="shared" si="81"/>
        <v>0</v>
      </c>
      <c r="V98" s="183" t="s">
        <v>77</v>
      </c>
      <c r="W98" s="184">
        <f t="shared" si="82"/>
        <v>0</v>
      </c>
      <c r="X98" s="183" t="s">
        <v>78</v>
      </c>
      <c r="Y98" s="184">
        <f t="shared" si="83"/>
        <v>0</v>
      </c>
      <c r="Z98" s="183" t="s">
        <v>79</v>
      </c>
      <c r="AA98" s="185">
        <f t="shared" si="84"/>
        <v>0</v>
      </c>
      <c r="AB98" s="42">
        <f t="shared" si="57"/>
        <v>0</v>
      </c>
      <c r="AC98" s="186">
        <f t="shared" si="85"/>
        <v>0</v>
      </c>
      <c r="AD98" s="184">
        <f t="shared" si="86"/>
        <v>0</v>
      </c>
      <c r="AE98" s="184">
        <f t="shared" si="87"/>
        <v>0</v>
      </c>
      <c r="AF98" s="184">
        <f t="shared" si="88"/>
        <v>0</v>
      </c>
      <c r="AG98" s="185">
        <f t="shared" si="89"/>
        <v>0</v>
      </c>
      <c r="AI98" s="187">
        <f t="shared" si="92"/>
        <v>0</v>
      </c>
      <c r="AJ98" s="188">
        <f t="shared" si="92"/>
        <v>0</v>
      </c>
      <c r="AK98" s="188">
        <f t="shared" si="92"/>
        <v>0</v>
      </c>
      <c r="AL98" s="188">
        <f t="shared" si="92"/>
        <v>0</v>
      </c>
      <c r="AM98" s="189">
        <f t="shared" si="90"/>
        <v>0</v>
      </c>
    </row>
    <row r="99" spans="1:40" s="4" customFormat="1" ht="14.25" customHeight="1">
      <c r="B99" s="147" t="s">
        <v>147</v>
      </c>
      <c r="C99" s="137"/>
      <c r="D99" s="138"/>
      <c r="E99" s="137">
        <v>1</v>
      </c>
      <c r="F99" s="139">
        <f t="shared" si="93"/>
        <v>0</v>
      </c>
      <c r="G99" s="152">
        <v>1</v>
      </c>
      <c r="H99" s="144">
        <f t="shared" si="94"/>
        <v>0</v>
      </c>
      <c r="I99" s="152">
        <v>1</v>
      </c>
      <c r="J99" s="144">
        <f t="shared" si="95"/>
        <v>0</v>
      </c>
      <c r="K99" s="152">
        <v>1</v>
      </c>
      <c r="L99" s="144">
        <f>F99*K99*($L$5)^3</f>
        <v>0</v>
      </c>
      <c r="M99" s="145">
        <f t="shared" si="96"/>
        <v>4</v>
      </c>
      <c r="N99" s="146">
        <f t="shared" si="97"/>
        <v>0</v>
      </c>
      <c r="O99" s="141" t="b">
        <f t="shared" si="62"/>
        <v>1</v>
      </c>
      <c r="P99" s="131"/>
      <c r="S99" s="182">
        <f t="shared" si="91"/>
        <v>0</v>
      </c>
      <c r="T99" s="183" t="s">
        <v>76</v>
      </c>
      <c r="U99" s="184">
        <f t="shared" si="81"/>
        <v>0</v>
      </c>
      <c r="V99" s="183" t="s">
        <v>77</v>
      </c>
      <c r="W99" s="184">
        <f t="shared" si="82"/>
        <v>0</v>
      </c>
      <c r="X99" s="183" t="s">
        <v>78</v>
      </c>
      <c r="Y99" s="184">
        <f t="shared" si="83"/>
        <v>0</v>
      </c>
      <c r="Z99" s="183" t="s">
        <v>79</v>
      </c>
      <c r="AA99" s="185">
        <f t="shared" si="84"/>
        <v>0</v>
      </c>
      <c r="AB99" s="42">
        <f t="shared" si="57"/>
        <v>0</v>
      </c>
      <c r="AC99" s="186">
        <f t="shared" si="85"/>
        <v>0</v>
      </c>
      <c r="AD99" s="184">
        <f t="shared" si="86"/>
        <v>0</v>
      </c>
      <c r="AE99" s="184">
        <f t="shared" si="87"/>
        <v>0</v>
      </c>
      <c r="AF99" s="184">
        <f t="shared" si="88"/>
        <v>0</v>
      </c>
      <c r="AG99" s="185">
        <f t="shared" si="89"/>
        <v>0</v>
      </c>
      <c r="AI99" s="187">
        <f t="shared" si="92"/>
        <v>0</v>
      </c>
      <c r="AJ99" s="188">
        <f t="shared" si="92"/>
        <v>0</v>
      </c>
      <c r="AK99" s="188">
        <f t="shared" si="92"/>
        <v>0</v>
      </c>
      <c r="AL99" s="188">
        <f t="shared" si="92"/>
        <v>0</v>
      </c>
      <c r="AM99" s="189">
        <f t="shared" si="90"/>
        <v>0</v>
      </c>
    </row>
    <row r="100" spans="1:40" s="4" customFormat="1" ht="14.25" customHeight="1">
      <c r="B100" s="147" t="s">
        <v>148</v>
      </c>
      <c r="C100" s="137"/>
      <c r="D100" s="138"/>
      <c r="E100" s="137">
        <v>1</v>
      </c>
      <c r="F100" s="139">
        <f t="shared" si="93"/>
        <v>0</v>
      </c>
      <c r="G100" s="152">
        <v>1</v>
      </c>
      <c r="H100" s="144">
        <f t="shared" si="94"/>
        <v>0</v>
      </c>
      <c r="I100" s="152">
        <v>1</v>
      </c>
      <c r="J100" s="144">
        <f t="shared" si="95"/>
        <v>0</v>
      </c>
      <c r="K100" s="152">
        <v>1</v>
      </c>
      <c r="L100" s="144">
        <f>F100*K100*($L$5)^3</f>
        <v>0</v>
      </c>
      <c r="M100" s="145">
        <f t="shared" si="96"/>
        <v>4</v>
      </c>
      <c r="N100" s="146">
        <f t="shared" si="97"/>
        <v>0</v>
      </c>
      <c r="O100" s="141" t="b">
        <f t="shared" si="62"/>
        <v>1</v>
      </c>
      <c r="P100" s="131"/>
      <c r="S100" s="182">
        <f t="shared" si="91"/>
        <v>0</v>
      </c>
      <c r="T100" s="183" t="s">
        <v>76</v>
      </c>
      <c r="U100" s="184">
        <f t="shared" si="81"/>
        <v>0</v>
      </c>
      <c r="V100" s="183" t="s">
        <v>77</v>
      </c>
      <c r="W100" s="184">
        <f t="shared" si="82"/>
        <v>0</v>
      </c>
      <c r="X100" s="183" t="s">
        <v>78</v>
      </c>
      <c r="Y100" s="184">
        <f t="shared" si="83"/>
        <v>0</v>
      </c>
      <c r="Z100" s="183" t="s">
        <v>79</v>
      </c>
      <c r="AA100" s="185">
        <f t="shared" si="84"/>
        <v>0</v>
      </c>
      <c r="AB100" s="42">
        <f t="shared" si="57"/>
        <v>0</v>
      </c>
      <c r="AC100" s="186">
        <f t="shared" si="85"/>
        <v>0</v>
      </c>
      <c r="AD100" s="184">
        <f t="shared" si="86"/>
        <v>0</v>
      </c>
      <c r="AE100" s="184">
        <f t="shared" si="87"/>
        <v>0</v>
      </c>
      <c r="AF100" s="184">
        <f t="shared" si="88"/>
        <v>0</v>
      </c>
      <c r="AG100" s="185">
        <f t="shared" si="89"/>
        <v>0</v>
      </c>
      <c r="AI100" s="187">
        <f t="shared" si="92"/>
        <v>0</v>
      </c>
      <c r="AJ100" s="188">
        <f t="shared" si="92"/>
        <v>0</v>
      </c>
      <c r="AK100" s="188">
        <f t="shared" si="92"/>
        <v>0</v>
      </c>
      <c r="AL100" s="188">
        <f t="shared" si="92"/>
        <v>0</v>
      </c>
      <c r="AM100" s="189">
        <f t="shared" si="90"/>
        <v>0</v>
      </c>
    </row>
    <row r="101" spans="1:40" s="4" customFormat="1" ht="14.25" customHeight="1">
      <c r="B101" s="147" t="s">
        <v>149</v>
      </c>
      <c r="C101" s="137"/>
      <c r="D101" s="138"/>
      <c r="E101" s="137">
        <v>1</v>
      </c>
      <c r="F101" s="139">
        <f t="shared" si="93"/>
        <v>0</v>
      </c>
      <c r="G101" s="152">
        <v>1</v>
      </c>
      <c r="H101" s="144">
        <f t="shared" si="94"/>
        <v>0</v>
      </c>
      <c r="I101" s="152">
        <v>1</v>
      </c>
      <c r="J101" s="144">
        <f t="shared" si="95"/>
        <v>0</v>
      </c>
      <c r="K101" s="152">
        <v>1</v>
      </c>
      <c r="L101" s="144">
        <f>F101*K101*($L$5)^3</f>
        <v>0</v>
      </c>
      <c r="M101" s="145">
        <f t="shared" si="96"/>
        <v>4</v>
      </c>
      <c r="N101" s="146">
        <f t="shared" si="97"/>
        <v>0</v>
      </c>
      <c r="O101" s="141" t="b">
        <f t="shared" si="62"/>
        <v>1</v>
      </c>
      <c r="P101" s="131"/>
      <c r="S101" s="182">
        <f t="shared" si="91"/>
        <v>0</v>
      </c>
      <c r="T101" s="183" t="s">
        <v>76</v>
      </c>
      <c r="U101" s="184">
        <f t="shared" si="81"/>
        <v>0</v>
      </c>
      <c r="V101" s="183" t="s">
        <v>77</v>
      </c>
      <c r="W101" s="184">
        <f t="shared" si="82"/>
        <v>0</v>
      </c>
      <c r="X101" s="183" t="s">
        <v>78</v>
      </c>
      <c r="Y101" s="184">
        <f t="shared" si="83"/>
        <v>0</v>
      </c>
      <c r="Z101" s="183" t="s">
        <v>79</v>
      </c>
      <c r="AA101" s="185">
        <f t="shared" si="84"/>
        <v>0</v>
      </c>
      <c r="AB101" s="42">
        <f t="shared" si="57"/>
        <v>0</v>
      </c>
      <c r="AC101" s="186">
        <f t="shared" si="85"/>
        <v>0</v>
      </c>
      <c r="AD101" s="184">
        <f t="shared" si="86"/>
        <v>0</v>
      </c>
      <c r="AE101" s="184">
        <f t="shared" si="87"/>
        <v>0</v>
      </c>
      <c r="AF101" s="184">
        <f t="shared" si="88"/>
        <v>0</v>
      </c>
      <c r="AG101" s="185">
        <f t="shared" si="89"/>
        <v>0</v>
      </c>
      <c r="AI101" s="187">
        <f t="shared" si="92"/>
        <v>0</v>
      </c>
      <c r="AJ101" s="188">
        <f t="shared" si="92"/>
        <v>0</v>
      </c>
      <c r="AK101" s="188">
        <f t="shared" si="92"/>
        <v>0</v>
      </c>
      <c r="AL101" s="188">
        <f t="shared" si="92"/>
        <v>0</v>
      </c>
      <c r="AM101" s="189">
        <f t="shared" si="90"/>
        <v>0</v>
      </c>
    </row>
    <row r="102" spans="1:40" s="4" customFormat="1" ht="14.25" customHeight="1">
      <c r="B102" s="147" t="s">
        <v>150</v>
      </c>
      <c r="C102" s="137"/>
      <c r="D102" s="138"/>
      <c r="E102" s="137">
        <v>1</v>
      </c>
      <c r="F102" s="139">
        <f t="shared" si="93"/>
        <v>0</v>
      </c>
      <c r="G102" s="152">
        <v>1</v>
      </c>
      <c r="H102" s="144">
        <f t="shared" si="94"/>
        <v>0</v>
      </c>
      <c r="I102" s="152">
        <v>1</v>
      </c>
      <c r="J102" s="144">
        <f t="shared" si="95"/>
        <v>0</v>
      </c>
      <c r="K102" s="152">
        <v>2</v>
      </c>
      <c r="L102" s="144">
        <f>F102*K102*($L$5)^3</f>
        <v>0</v>
      </c>
      <c r="M102" s="145">
        <f t="shared" si="96"/>
        <v>5</v>
      </c>
      <c r="N102" s="146">
        <f t="shared" si="97"/>
        <v>0</v>
      </c>
      <c r="O102" s="141" t="b">
        <f t="shared" si="62"/>
        <v>1</v>
      </c>
      <c r="P102" s="131"/>
      <c r="S102" s="182">
        <f t="shared" si="91"/>
        <v>0</v>
      </c>
      <c r="T102" s="183" t="s">
        <v>76</v>
      </c>
      <c r="U102" s="184">
        <f t="shared" si="81"/>
        <v>0</v>
      </c>
      <c r="V102" s="183" t="s">
        <v>77</v>
      </c>
      <c r="W102" s="184">
        <f t="shared" si="82"/>
        <v>0</v>
      </c>
      <c r="X102" s="183" t="s">
        <v>78</v>
      </c>
      <c r="Y102" s="184">
        <f t="shared" si="83"/>
        <v>0</v>
      </c>
      <c r="Z102" s="183" t="s">
        <v>79</v>
      </c>
      <c r="AA102" s="185">
        <f t="shared" si="84"/>
        <v>0</v>
      </c>
      <c r="AB102" s="42">
        <f t="shared" si="57"/>
        <v>0</v>
      </c>
      <c r="AC102" s="186">
        <f t="shared" si="85"/>
        <v>0</v>
      </c>
      <c r="AD102" s="184">
        <f t="shared" si="86"/>
        <v>0</v>
      </c>
      <c r="AE102" s="184">
        <f t="shared" si="87"/>
        <v>0</v>
      </c>
      <c r="AF102" s="184">
        <f t="shared" si="88"/>
        <v>0</v>
      </c>
      <c r="AG102" s="185">
        <f t="shared" si="89"/>
        <v>0</v>
      </c>
      <c r="AI102" s="187">
        <f t="shared" si="92"/>
        <v>0</v>
      </c>
      <c r="AJ102" s="188">
        <f t="shared" si="92"/>
        <v>0</v>
      </c>
      <c r="AK102" s="188">
        <f t="shared" si="92"/>
        <v>0</v>
      </c>
      <c r="AL102" s="188">
        <f t="shared" si="92"/>
        <v>0</v>
      </c>
      <c r="AM102" s="189">
        <f t="shared" si="90"/>
        <v>0</v>
      </c>
    </row>
    <row r="103" spans="1:40" s="4" customFormat="1" ht="29">
      <c r="A103" s="198"/>
      <c r="B103" s="147" t="s">
        <v>151</v>
      </c>
      <c r="C103" s="137" t="s">
        <v>152</v>
      </c>
      <c r="D103" s="138">
        <v>5000000</v>
      </c>
      <c r="E103" s="137">
        <v>1</v>
      </c>
      <c r="F103" s="139">
        <f t="shared" si="93"/>
        <v>5000000</v>
      </c>
      <c r="G103" s="152">
        <v>1</v>
      </c>
      <c r="H103" s="144">
        <f t="shared" si="94"/>
        <v>5250000</v>
      </c>
      <c r="I103" s="152">
        <v>1</v>
      </c>
      <c r="J103" s="144">
        <f t="shared" si="95"/>
        <v>5512500</v>
      </c>
      <c r="K103" s="152"/>
      <c r="L103" s="144">
        <f>D103*K103*($L$5)^3</f>
        <v>0</v>
      </c>
      <c r="M103" s="145">
        <f t="shared" si="96"/>
        <v>3</v>
      </c>
      <c r="N103" s="146">
        <f t="shared" si="97"/>
        <v>15762500</v>
      </c>
      <c r="O103" s="141" t="b">
        <f t="shared" si="62"/>
        <v>1</v>
      </c>
      <c r="P103" s="131"/>
      <c r="S103" s="182">
        <f t="shared" si="91"/>
        <v>5000000</v>
      </c>
      <c r="T103" s="183" t="s">
        <v>76</v>
      </c>
      <c r="U103" s="184">
        <f t="shared" si="81"/>
        <v>5250000</v>
      </c>
      <c r="V103" s="183" t="s">
        <v>77</v>
      </c>
      <c r="W103" s="184">
        <f t="shared" si="82"/>
        <v>5512500</v>
      </c>
      <c r="X103" s="183" t="s">
        <v>78</v>
      </c>
      <c r="Y103" s="184">
        <f t="shared" si="83"/>
        <v>0</v>
      </c>
      <c r="Z103" s="183" t="s">
        <v>79</v>
      </c>
      <c r="AA103" s="185">
        <f t="shared" si="84"/>
        <v>15762500</v>
      </c>
      <c r="AB103" s="42">
        <f t="shared" si="57"/>
        <v>0</v>
      </c>
      <c r="AC103" s="186">
        <f t="shared" si="85"/>
        <v>2293.5779816513759</v>
      </c>
      <c r="AD103" s="184">
        <f t="shared" si="86"/>
        <v>2408.2568807339449</v>
      </c>
      <c r="AE103" s="184">
        <f t="shared" si="87"/>
        <v>2528.669724770642</v>
      </c>
      <c r="AF103" s="184">
        <f t="shared" si="88"/>
        <v>0</v>
      </c>
      <c r="AG103" s="185">
        <f t="shared" si="89"/>
        <v>7230.5045871559632</v>
      </c>
      <c r="AI103" s="187">
        <f t="shared" si="92"/>
        <v>19387.614678899081</v>
      </c>
      <c r="AJ103" s="188">
        <f t="shared" si="92"/>
        <v>20356.995412844033</v>
      </c>
      <c r="AK103" s="188">
        <f t="shared" si="92"/>
        <v>21374.845183486235</v>
      </c>
      <c r="AL103" s="188">
        <f t="shared" si="92"/>
        <v>0</v>
      </c>
      <c r="AM103" s="189">
        <f t="shared" si="90"/>
        <v>61119.455275229353</v>
      </c>
      <c r="AN103" s="48"/>
    </row>
    <row r="104" spans="1:40" s="4" customFormat="1" ht="29">
      <c r="A104" s="198"/>
      <c r="B104" s="147" t="s">
        <v>153</v>
      </c>
      <c r="C104" s="137" t="s">
        <v>152</v>
      </c>
      <c r="D104" s="138">
        <v>5000000</v>
      </c>
      <c r="E104" s="137">
        <v>1</v>
      </c>
      <c r="F104" s="139">
        <f t="shared" si="93"/>
        <v>5000000</v>
      </c>
      <c r="G104" s="152">
        <v>1</v>
      </c>
      <c r="H104" s="144">
        <f t="shared" si="94"/>
        <v>5250000</v>
      </c>
      <c r="I104" s="152">
        <v>1</v>
      </c>
      <c r="J104" s="144">
        <f t="shared" si="95"/>
        <v>5512500</v>
      </c>
      <c r="K104" s="152"/>
      <c r="L104" s="144">
        <f>D104*K104*($L$5)^3</f>
        <v>0</v>
      </c>
      <c r="M104" s="145">
        <f t="shared" si="96"/>
        <v>3</v>
      </c>
      <c r="N104" s="146">
        <f t="shared" si="97"/>
        <v>15762500</v>
      </c>
      <c r="O104" s="141" t="b">
        <f t="shared" si="62"/>
        <v>1</v>
      </c>
      <c r="P104" s="131"/>
      <c r="S104" s="182">
        <f t="shared" si="91"/>
        <v>5000000</v>
      </c>
      <c r="T104" s="183" t="s">
        <v>76</v>
      </c>
      <c r="U104" s="184">
        <f t="shared" si="81"/>
        <v>5250000</v>
      </c>
      <c r="V104" s="183" t="s">
        <v>77</v>
      </c>
      <c r="W104" s="184">
        <f t="shared" si="82"/>
        <v>5512500</v>
      </c>
      <c r="X104" s="183" t="s">
        <v>78</v>
      </c>
      <c r="Y104" s="184">
        <f t="shared" si="83"/>
        <v>0</v>
      </c>
      <c r="Z104" s="183" t="s">
        <v>79</v>
      </c>
      <c r="AA104" s="185">
        <f t="shared" si="84"/>
        <v>15762500</v>
      </c>
      <c r="AB104" s="42">
        <f t="shared" si="57"/>
        <v>0</v>
      </c>
      <c r="AC104" s="186">
        <f t="shared" si="85"/>
        <v>2293.5779816513759</v>
      </c>
      <c r="AD104" s="184">
        <f t="shared" si="86"/>
        <v>2408.2568807339449</v>
      </c>
      <c r="AE104" s="184">
        <f t="shared" si="87"/>
        <v>2528.669724770642</v>
      </c>
      <c r="AF104" s="184">
        <f t="shared" si="88"/>
        <v>0</v>
      </c>
      <c r="AG104" s="185">
        <f t="shared" si="89"/>
        <v>7230.5045871559632</v>
      </c>
      <c r="AI104" s="187">
        <f t="shared" si="92"/>
        <v>19387.614678899081</v>
      </c>
      <c r="AJ104" s="188">
        <f t="shared" si="92"/>
        <v>20356.995412844033</v>
      </c>
      <c r="AK104" s="188">
        <f t="shared" si="92"/>
        <v>21374.845183486235</v>
      </c>
      <c r="AL104" s="188">
        <f t="shared" si="92"/>
        <v>0</v>
      </c>
      <c r="AM104" s="189">
        <f t="shared" si="90"/>
        <v>61119.455275229353</v>
      </c>
      <c r="AN104" s="48"/>
    </row>
    <row r="105" spans="1:40" s="4" customFormat="1" ht="15" customHeight="1">
      <c r="B105" s="147" t="s">
        <v>154</v>
      </c>
      <c r="C105" s="137"/>
      <c r="D105" s="138"/>
      <c r="E105" s="137"/>
      <c r="F105" s="139"/>
      <c r="G105" s="152"/>
      <c r="H105" s="144"/>
      <c r="I105" s="152"/>
      <c r="J105" s="144"/>
      <c r="K105" s="152"/>
      <c r="L105" s="144"/>
      <c r="M105" s="145"/>
      <c r="N105" s="146"/>
      <c r="O105" s="141" t="b">
        <f t="shared" si="62"/>
        <v>1</v>
      </c>
      <c r="P105" s="131"/>
      <c r="S105" s="182">
        <f t="shared" si="91"/>
        <v>0</v>
      </c>
      <c r="T105" s="183" t="s">
        <v>76</v>
      </c>
      <c r="U105" s="184">
        <f t="shared" si="81"/>
        <v>0</v>
      </c>
      <c r="V105" s="183" t="s">
        <v>77</v>
      </c>
      <c r="W105" s="184">
        <f t="shared" si="82"/>
        <v>0</v>
      </c>
      <c r="X105" s="183" t="s">
        <v>78</v>
      </c>
      <c r="Y105" s="184">
        <f t="shared" si="83"/>
        <v>0</v>
      </c>
      <c r="Z105" s="183" t="s">
        <v>79</v>
      </c>
      <c r="AA105" s="185">
        <f t="shared" si="84"/>
        <v>0</v>
      </c>
      <c r="AB105" s="42">
        <f t="shared" si="57"/>
        <v>0</v>
      </c>
      <c r="AC105" s="186">
        <f t="shared" si="85"/>
        <v>0</v>
      </c>
      <c r="AD105" s="184">
        <f t="shared" si="86"/>
        <v>0</v>
      </c>
      <c r="AE105" s="184">
        <f t="shared" si="87"/>
        <v>0</v>
      </c>
      <c r="AF105" s="184">
        <f t="shared" si="88"/>
        <v>0</v>
      </c>
      <c r="AG105" s="185">
        <f t="shared" si="89"/>
        <v>0</v>
      </c>
      <c r="AI105" s="187">
        <f t="shared" si="92"/>
        <v>0</v>
      </c>
      <c r="AJ105" s="188">
        <f t="shared" si="92"/>
        <v>0</v>
      </c>
      <c r="AK105" s="188">
        <f t="shared" si="92"/>
        <v>0</v>
      </c>
      <c r="AL105" s="188">
        <f t="shared" si="92"/>
        <v>0</v>
      </c>
      <c r="AM105" s="189">
        <f t="shared" si="90"/>
        <v>0</v>
      </c>
    </row>
    <row r="106" spans="1:40" s="4" customFormat="1" ht="64.5" customHeight="1">
      <c r="B106" s="50" t="s">
        <v>155</v>
      </c>
      <c r="C106" s="381"/>
      <c r="D106" s="168"/>
      <c r="E106" s="381"/>
      <c r="F106" s="166">
        <f>SUM(F107:F114)</f>
        <v>24250000</v>
      </c>
      <c r="G106" s="381"/>
      <c r="H106" s="166">
        <f>SUM(H107:H114)</f>
        <v>37537500</v>
      </c>
      <c r="I106" s="381"/>
      <c r="J106" s="166">
        <f>SUM(J107:J114)</f>
        <v>2480625</v>
      </c>
      <c r="K106" s="381"/>
      <c r="L106" s="166">
        <f>SUM(L107:L114)</f>
        <v>2604656.2500000005</v>
      </c>
      <c r="M106" s="382"/>
      <c r="N106" s="166">
        <f>SUM(N107:N114)</f>
        <v>66872781.25</v>
      </c>
      <c r="O106" s="141" t="b">
        <f t="shared" si="62"/>
        <v>0</v>
      </c>
      <c r="P106" s="167"/>
      <c r="Q106" s="42"/>
      <c r="S106" s="383" t="e">
        <f>#REF!</f>
        <v>#REF!</v>
      </c>
      <c r="T106" s="183" t="s">
        <v>76</v>
      </c>
      <c r="U106" s="383" t="e">
        <f>#REF!</f>
        <v>#REF!</v>
      </c>
      <c r="V106" s="183" t="s">
        <v>77</v>
      </c>
      <c r="W106" s="383" t="e">
        <f>#REF!</f>
        <v>#REF!</v>
      </c>
      <c r="X106" s="183" t="s">
        <v>78</v>
      </c>
      <c r="Y106" s="383" t="e">
        <f>#REF!</f>
        <v>#REF!</v>
      </c>
      <c r="Z106" s="183" t="s">
        <v>79</v>
      </c>
      <c r="AA106" s="383" t="e">
        <f>#REF!</f>
        <v>#REF!</v>
      </c>
      <c r="AB106" s="42" t="e">
        <f t="shared" si="57"/>
        <v>#REF!</v>
      </c>
      <c r="AC106" s="383" t="e">
        <f>#REF!</f>
        <v>#REF!</v>
      </c>
      <c r="AD106" s="383" t="e">
        <f>#REF!</f>
        <v>#REF!</v>
      </c>
      <c r="AE106" s="383" t="e">
        <f>#REF!</f>
        <v>#REF!</v>
      </c>
      <c r="AF106" s="383" t="e">
        <f>#REF!</f>
        <v>#REF!</v>
      </c>
      <c r="AG106" s="383" t="e">
        <f>#REF!</f>
        <v>#REF!</v>
      </c>
      <c r="AI106" s="383" t="e">
        <f>#REF!</f>
        <v>#REF!</v>
      </c>
      <c r="AJ106" s="383" t="e">
        <f>#REF!</f>
        <v>#REF!</v>
      </c>
      <c r="AK106" s="383" t="e">
        <f>#REF!</f>
        <v>#REF!</v>
      </c>
      <c r="AL106" s="383" t="e">
        <f>#REF!</f>
        <v>#REF!</v>
      </c>
      <c r="AM106" s="383" t="e">
        <f>#REF!</f>
        <v>#REF!</v>
      </c>
    </row>
    <row r="107" spans="1:40" s="4" customFormat="1" ht="18.5">
      <c r="A107" s="198"/>
      <c r="B107" s="147" t="s">
        <v>139</v>
      </c>
      <c r="C107" s="137" t="s">
        <v>156</v>
      </c>
      <c r="D107" s="138">
        <v>15000</v>
      </c>
      <c r="E107" s="137">
        <v>150</v>
      </c>
      <c r="F107" s="139">
        <f t="shared" ref="F107:F109" si="98">E107*D107</f>
        <v>2250000</v>
      </c>
      <c r="G107" s="152">
        <v>150</v>
      </c>
      <c r="H107" s="144">
        <f t="shared" ref="H107:H109" si="99">G107*D107*($H$5)^1</f>
        <v>2362500</v>
      </c>
      <c r="I107" s="152">
        <v>150</v>
      </c>
      <c r="J107" s="144">
        <f t="shared" ref="J107:J109" si="100">D107*I107*($J$5)^2</f>
        <v>2480625</v>
      </c>
      <c r="K107" s="152">
        <v>150</v>
      </c>
      <c r="L107" s="144">
        <f>D107*K107*($L$5)^3</f>
        <v>2604656.2500000005</v>
      </c>
      <c r="M107" s="145">
        <f t="shared" ref="M107:M109" si="101">+E107+G107+I107+K107</f>
        <v>600</v>
      </c>
      <c r="N107" s="146">
        <f t="shared" ref="N107:N109" si="102">L107+J107+H107+F107</f>
        <v>9697781.25</v>
      </c>
      <c r="O107" s="141" t="b">
        <f t="shared" si="62"/>
        <v>1</v>
      </c>
      <c r="P107" s="131"/>
      <c r="S107" s="182">
        <f t="shared" ref="S107:S113" si="103">F107</f>
        <v>2250000</v>
      </c>
      <c r="T107" s="183" t="s">
        <v>76</v>
      </c>
      <c r="U107" s="184">
        <f t="shared" ref="U107:U113" si="104">H107</f>
        <v>2362500</v>
      </c>
      <c r="V107" s="183" t="s">
        <v>77</v>
      </c>
      <c r="W107" s="184">
        <f t="shared" ref="W107:W113" si="105">J107</f>
        <v>2480625</v>
      </c>
      <c r="X107" s="183" t="s">
        <v>78</v>
      </c>
      <c r="Y107" s="184">
        <f t="shared" ref="Y107:Y113" si="106">L107</f>
        <v>2604656.2500000005</v>
      </c>
      <c r="Z107" s="183" t="s">
        <v>79</v>
      </c>
      <c r="AA107" s="185">
        <f t="shared" ref="AA107:AA113" si="107">SUM(S107:Y107)</f>
        <v>9697781.25</v>
      </c>
      <c r="AB107" s="42">
        <f t="shared" si="57"/>
        <v>0</v>
      </c>
      <c r="AC107" s="186">
        <f t="shared" ref="AC107:AC113" si="108">S107/$AE$4</f>
        <v>1032.1100917431193</v>
      </c>
      <c r="AD107" s="184">
        <f t="shared" ref="AD107:AD113" si="109">U107/$AE$4</f>
        <v>1083.7155963302753</v>
      </c>
      <c r="AE107" s="184">
        <f t="shared" ref="AE107:AE113" si="110">W107/$AE$4</f>
        <v>1137.9013761467891</v>
      </c>
      <c r="AF107" s="184">
        <f t="shared" ref="AF107:AF113" si="111">Y107/$AE$4</f>
        <v>1194.7964449541287</v>
      </c>
      <c r="AG107" s="185">
        <f t="shared" ref="AG107:AG113" si="112">SUM(AC107:AF107)</f>
        <v>4448.5235091743125</v>
      </c>
      <c r="AI107" s="187">
        <f t="shared" ref="AI107:AL113" si="113">AC107*$AK$4</f>
        <v>8724.4266055045864</v>
      </c>
      <c r="AJ107" s="188">
        <f t="shared" si="113"/>
        <v>9160.6479357798162</v>
      </c>
      <c r="AK107" s="188">
        <f t="shared" si="113"/>
        <v>9618.680332568807</v>
      </c>
      <c r="AL107" s="188">
        <f t="shared" si="113"/>
        <v>10099.614349197249</v>
      </c>
      <c r="AM107" s="189">
        <f t="shared" ref="AM107:AM113" si="114">SUM(AI107:AL107)</f>
        <v>37603.36922305046</v>
      </c>
    </row>
    <row r="108" spans="1:40" s="4" customFormat="1" ht="14.25" customHeight="1">
      <c r="B108" s="147" t="s">
        <v>141</v>
      </c>
      <c r="C108" s="137"/>
      <c r="D108" s="138"/>
      <c r="E108" s="137">
        <v>1</v>
      </c>
      <c r="F108" s="139">
        <f t="shared" si="98"/>
        <v>0</v>
      </c>
      <c r="G108" s="152">
        <v>1</v>
      </c>
      <c r="H108" s="144">
        <f t="shared" si="99"/>
        <v>0</v>
      </c>
      <c r="I108" s="152">
        <v>1</v>
      </c>
      <c r="J108" s="144">
        <f t="shared" si="100"/>
        <v>0</v>
      </c>
      <c r="K108" s="152">
        <v>1</v>
      </c>
      <c r="L108" s="144">
        <f t="shared" ref="L108:L109" si="115">F108*K108*($L$5)^3</f>
        <v>0</v>
      </c>
      <c r="M108" s="145">
        <f t="shared" si="101"/>
        <v>4</v>
      </c>
      <c r="N108" s="146">
        <f t="shared" si="102"/>
        <v>0</v>
      </c>
      <c r="O108" s="141" t="b">
        <f t="shared" si="62"/>
        <v>1</v>
      </c>
      <c r="P108" s="131"/>
      <c r="S108" s="182">
        <f t="shared" si="103"/>
        <v>0</v>
      </c>
      <c r="T108" s="183" t="s">
        <v>76</v>
      </c>
      <c r="U108" s="184">
        <f t="shared" si="104"/>
        <v>0</v>
      </c>
      <c r="V108" s="183" t="s">
        <v>77</v>
      </c>
      <c r="W108" s="184">
        <f t="shared" si="105"/>
        <v>0</v>
      </c>
      <c r="X108" s="183" t="s">
        <v>78</v>
      </c>
      <c r="Y108" s="184">
        <f t="shared" si="106"/>
        <v>0</v>
      </c>
      <c r="Z108" s="183" t="s">
        <v>79</v>
      </c>
      <c r="AA108" s="185">
        <f t="shared" si="107"/>
        <v>0</v>
      </c>
      <c r="AB108" s="42">
        <f t="shared" si="57"/>
        <v>0</v>
      </c>
      <c r="AC108" s="186">
        <f t="shared" si="108"/>
        <v>0</v>
      </c>
      <c r="AD108" s="184">
        <f t="shared" si="109"/>
        <v>0</v>
      </c>
      <c r="AE108" s="184">
        <f t="shared" si="110"/>
        <v>0</v>
      </c>
      <c r="AF108" s="184">
        <f t="shared" si="111"/>
        <v>0</v>
      </c>
      <c r="AG108" s="185">
        <f t="shared" si="112"/>
        <v>0</v>
      </c>
      <c r="AI108" s="187">
        <f t="shared" si="113"/>
        <v>0</v>
      </c>
      <c r="AJ108" s="188">
        <f t="shared" si="113"/>
        <v>0</v>
      </c>
      <c r="AK108" s="188">
        <f t="shared" si="113"/>
        <v>0</v>
      </c>
      <c r="AL108" s="188">
        <f t="shared" si="113"/>
        <v>0</v>
      </c>
      <c r="AM108" s="189">
        <f t="shared" si="114"/>
        <v>0</v>
      </c>
    </row>
    <row r="109" spans="1:40" s="4" customFormat="1" ht="14.25" customHeight="1">
      <c r="B109" s="147" t="s">
        <v>142</v>
      </c>
      <c r="C109" s="137"/>
      <c r="D109" s="138"/>
      <c r="E109" s="137">
        <v>1</v>
      </c>
      <c r="F109" s="139">
        <f t="shared" si="98"/>
        <v>0</v>
      </c>
      <c r="G109" s="152">
        <v>1</v>
      </c>
      <c r="H109" s="144">
        <f t="shared" si="99"/>
        <v>0</v>
      </c>
      <c r="I109" s="152">
        <v>1</v>
      </c>
      <c r="J109" s="144">
        <f t="shared" si="100"/>
        <v>0</v>
      </c>
      <c r="K109" s="152">
        <v>1</v>
      </c>
      <c r="L109" s="144">
        <f t="shared" si="115"/>
        <v>0</v>
      </c>
      <c r="M109" s="145">
        <f t="shared" si="101"/>
        <v>4</v>
      </c>
      <c r="N109" s="146">
        <f t="shared" si="102"/>
        <v>0</v>
      </c>
      <c r="O109" s="141" t="b">
        <f t="shared" si="62"/>
        <v>1</v>
      </c>
      <c r="P109" s="131"/>
      <c r="S109" s="182">
        <f t="shared" si="103"/>
        <v>0</v>
      </c>
      <c r="T109" s="183" t="s">
        <v>76</v>
      </c>
      <c r="U109" s="184">
        <f t="shared" si="104"/>
        <v>0</v>
      </c>
      <c r="V109" s="183" t="s">
        <v>77</v>
      </c>
      <c r="W109" s="184">
        <f t="shared" si="105"/>
        <v>0</v>
      </c>
      <c r="X109" s="183" t="s">
        <v>78</v>
      </c>
      <c r="Y109" s="184">
        <f t="shared" si="106"/>
        <v>0</v>
      </c>
      <c r="Z109" s="183" t="s">
        <v>79</v>
      </c>
      <c r="AA109" s="185">
        <f t="shared" si="107"/>
        <v>0</v>
      </c>
      <c r="AB109" s="42">
        <f t="shared" si="57"/>
        <v>0</v>
      </c>
      <c r="AC109" s="186">
        <f t="shared" si="108"/>
        <v>0</v>
      </c>
      <c r="AD109" s="184">
        <f t="shared" si="109"/>
        <v>0</v>
      </c>
      <c r="AE109" s="184">
        <f t="shared" si="110"/>
        <v>0</v>
      </c>
      <c r="AF109" s="184">
        <f t="shared" si="111"/>
        <v>0</v>
      </c>
      <c r="AG109" s="185">
        <f t="shared" si="112"/>
        <v>0</v>
      </c>
      <c r="AI109" s="187">
        <f t="shared" si="113"/>
        <v>0</v>
      </c>
      <c r="AJ109" s="188">
        <f t="shared" si="113"/>
        <v>0</v>
      </c>
      <c r="AK109" s="188">
        <f t="shared" si="113"/>
        <v>0</v>
      </c>
      <c r="AL109" s="188">
        <f t="shared" si="113"/>
        <v>0</v>
      </c>
      <c r="AM109" s="189">
        <f t="shared" si="114"/>
        <v>0</v>
      </c>
    </row>
    <row r="110" spans="1:40" s="4" customFormat="1" ht="45" customHeight="1">
      <c r="A110" s="198"/>
      <c r="B110" s="147" t="s">
        <v>143</v>
      </c>
      <c r="C110" s="137" t="s">
        <v>157</v>
      </c>
      <c r="D110" s="138">
        <v>8500000</v>
      </c>
      <c r="E110" s="137">
        <v>1</v>
      </c>
      <c r="F110" s="139">
        <f>E110*D110</f>
        <v>8500000</v>
      </c>
      <c r="G110" s="152">
        <v>1</v>
      </c>
      <c r="H110" s="144">
        <f>G110*D110*($H$5)^1</f>
        <v>8925000</v>
      </c>
      <c r="I110" s="152"/>
      <c r="J110" s="144">
        <f>D110*I110*($J$5)^2</f>
        <v>0</v>
      </c>
      <c r="K110" s="387"/>
      <c r="L110" s="144">
        <f>F110*K110*($L$5)^3</f>
        <v>0</v>
      </c>
      <c r="M110" s="145">
        <f>+E110+G110+I110+K110</f>
        <v>2</v>
      </c>
      <c r="N110" s="146">
        <f>L110+J110+H110+F110</f>
        <v>17425000</v>
      </c>
      <c r="O110" s="141" t="b">
        <f t="shared" si="62"/>
        <v>1</v>
      </c>
      <c r="P110" s="131"/>
      <c r="S110" s="182">
        <f t="shared" si="103"/>
        <v>8500000</v>
      </c>
      <c r="T110" s="183" t="s">
        <v>76</v>
      </c>
      <c r="U110" s="184">
        <f t="shared" si="104"/>
        <v>8925000</v>
      </c>
      <c r="V110" s="183" t="s">
        <v>77</v>
      </c>
      <c r="W110" s="184">
        <f t="shared" si="105"/>
        <v>0</v>
      </c>
      <c r="X110" s="183" t="s">
        <v>78</v>
      </c>
      <c r="Y110" s="184">
        <f t="shared" si="106"/>
        <v>0</v>
      </c>
      <c r="Z110" s="183" t="s">
        <v>79</v>
      </c>
      <c r="AA110" s="185">
        <f t="shared" si="107"/>
        <v>17425000</v>
      </c>
      <c r="AB110" s="42">
        <f t="shared" si="57"/>
        <v>0</v>
      </c>
      <c r="AC110" s="186">
        <f t="shared" si="108"/>
        <v>3899.0825688073396</v>
      </c>
      <c r="AD110" s="184">
        <f t="shared" si="109"/>
        <v>4094.0366972477063</v>
      </c>
      <c r="AE110" s="184">
        <f t="shared" si="110"/>
        <v>0</v>
      </c>
      <c r="AF110" s="184">
        <f t="shared" si="111"/>
        <v>0</v>
      </c>
      <c r="AG110" s="185">
        <f t="shared" si="112"/>
        <v>7993.119266055046</v>
      </c>
      <c r="AI110" s="187">
        <f t="shared" si="113"/>
        <v>32958.944954128441</v>
      </c>
      <c r="AJ110" s="188">
        <f t="shared" si="113"/>
        <v>34606.89220183486</v>
      </c>
      <c r="AK110" s="188">
        <f t="shared" si="113"/>
        <v>0</v>
      </c>
      <c r="AL110" s="188">
        <f t="shared" si="113"/>
        <v>0</v>
      </c>
      <c r="AM110" s="189">
        <f t="shared" si="114"/>
        <v>67565.837155963294</v>
      </c>
      <c r="AN110" s="48"/>
    </row>
    <row r="111" spans="1:40" s="4" customFormat="1" ht="18.5">
      <c r="A111" s="198"/>
      <c r="B111" s="147" t="s">
        <v>144</v>
      </c>
      <c r="C111" s="137" t="s">
        <v>158</v>
      </c>
      <c r="D111" s="138">
        <v>20000000</v>
      </c>
      <c r="E111" s="137"/>
      <c r="F111" s="139">
        <f>E111*D111</f>
        <v>0</v>
      </c>
      <c r="G111" s="152">
        <v>1</v>
      </c>
      <c r="H111" s="144">
        <f>G111*D111*($H$5)^1</f>
        <v>21000000</v>
      </c>
      <c r="I111" s="152"/>
      <c r="J111" s="144">
        <f>D111*I111*($J$5)^2</f>
        <v>0</v>
      </c>
      <c r="K111" s="51"/>
      <c r="L111" s="144">
        <f>F111*K111*($L$5)^3</f>
        <v>0</v>
      </c>
      <c r="M111" s="145">
        <f>+E111+G111+I111+K111</f>
        <v>1</v>
      </c>
      <c r="N111" s="146">
        <f>L111+J111+H111+F111</f>
        <v>21000000</v>
      </c>
      <c r="O111" s="141" t="b">
        <f t="shared" si="62"/>
        <v>1</v>
      </c>
      <c r="P111" s="131"/>
      <c r="S111" s="182">
        <f t="shared" si="103"/>
        <v>0</v>
      </c>
      <c r="T111" s="183" t="s">
        <v>76</v>
      </c>
      <c r="U111" s="184">
        <f t="shared" si="104"/>
        <v>21000000</v>
      </c>
      <c r="V111" s="183" t="s">
        <v>77</v>
      </c>
      <c r="W111" s="184">
        <f t="shared" si="105"/>
        <v>0</v>
      </c>
      <c r="X111" s="183" t="s">
        <v>78</v>
      </c>
      <c r="Y111" s="184">
        <f t="shared" si="106"/>
        <v>0</v>
      </c>
      <c r="Z111" s="183" t="s">
        <v>79</v>
      </c>
      <c r="AA111" s="185">
        <f t="shared" si="107"/>
        <v>21000000</v>
      </c>
      <c r="AB111" s="42">
        <f t="shared" si="57"/>
        <v>0</v>
      </c>
      <c r="AC111" s="186">
        <f t="shared" si="108"/>
        <v>0</v>
      </c>
      <c r="AD111" s="184">
        <f t="shared" si="109"/>
        <v>9633.0275229357794</v>
      </c>
      <c r="AE111" s="184">
        <f t="shared" si="110"/>
        <v>0</v>
      </c>
      <c r="AF111" s="184">
        <f t="shared" si="111"/>
        <v>0</v>
      </c>
      <c r="AG111" s="185">
        <f t="shared" si="112"/>
        <v>9633.0275229357794</v>
      </c>
      <c r="AI111" s="187">
        <f t="shared" si="113"/>
        <v>0</v>
      </c>
      <c r="AJ111" s="188">
        <f t="shared" si="113"/>
        <v>81427.981651376133</v>
      </c>
      <c r="AK111" s="188">
        <f t="shared" si="113"/>
        <v>0</v>
      </c>
      <c r="AL111" s="188">
        <f t="shared" si="113"/>
        <v>0</v>
      </c>
      <c r="AM111" s="189">
        <f t="shared" si="114"/>
        <v>81427.981651376133</v>
      </c>
    </row>
    <row r="112" spans="1:40" s="4" customFormat="1" ht="29">
      <c r="A112" s="198"/>
      <c r="B112" s="147" t="s">
        <v>145</v>
      </c>
      <c r="C112" s="137" t="s">
        <v>159</v>
      </c>
      <c r="D112" s="138">
        <v>8500000</v>
      </c>
      <c r="E112" s="137">
        <v>1</v>
      </c>
      <c r="F112" s="139">
        <f>E112*D112</f>
        <v>8500000</v>
      </c>
      <c r="G112" s="152"/>
      <c r="H112" s="144">
        <f>G112*D112*($H$5)^1</f>
        <v>0</v>
      </c>
      <c r="I112" s="152"/>
      <c r="J112" s="144">
        <f>D112*I112*($J$5)^2</f>
        <v>0</v>
      </c>
      <c r="K112" s="152"/>
      <c r="L112" s="144">
        <f>F112*K112*($L$5)^3</f>
        <v>0</v>
      </c>
      <c r="M112" s="145">
        <f>+E112+G112+I112+K112</f>
        <v>1</v>
      </c>
      <c r="N112" s="146">
        <f>L112+J112+H112+F112</f>
        <v>8500000</v>
      </c>
      <c r="O112" s="141" t="b">
        <f t="shared" si="62"/>
        <v>1</v>
      </c>
      <c r="P112" s="131"/>
      <c r="S112" s="182">
        <f t="shared" si="103"/>
        <v>8500000</v>
      </c>
      <c r="T112" s="183" t="s">
        <v>76</v>
      </c>
      <c r="U112" s="184">
        <f t="shared" si="104"/>
        <v>0</v>
      </c>
      <c r="V112" s="183" t="s">
        <v>77</v>
      </c>
      <c r="W112" s="184">
        <f t="shared" si="105"/>
        <v>0</v>
      </c>
      <c r="X112" s="183" t="s">
        <v>78</v>
      </c>
      <c r="Y112" s="184">
        <f t="shared" si="106"/>
        <v>0</v>
      </c>
      <c r="Z112" s="183" t="s">
        <v>79</v>
      </c>
      <c r="AA112" s="185">
        <f t="shared" si="107"/>
        <v>8500000</v>
      </c>
      <c r="AB112" s="42">
        <f t="shared" si="57"/>
        <v>0</v>
      </c>
      <c r="AC112" s="186">
        <f t="shared" si="108"/>
        <v>3899.0825688073396</v>
      </c>
      <c r="AD112" s="184">
        <f t="shared" si="109"/>
        <v>0</v>
      </c>
      <c r="AE112" s="184">
        <f t="shared" si="110"/>
        <v>0</v>
      </c>
      <c r="AF112" s="184">
        <f t="shared" si="111"/>
        <v>0</v>
      </c>
      <c r="AG112" s="185">
        <f t="shared" si="112"/>
        <v>3899.0825688073396</v>
      </c>
      <c r="AI112" s="187">
        <f t="shared" si="113"/>
        <v>32958.944954128441</v>
      </c>
      <c r="AJ112" s="188">
        <f t="shared" si="113"/>
        <v>0</v>
      </c>
      <c r="AK112" s="188">
        <f t="shared" si="113"/>
        <v>0</v>
      </c>
      <c r="AL112" s="188">
        <f t="shared" si="113"/>
        <v>0</v>
      </c>
      <c r="AM112" s="189">
        <f t="shared" si="114"/>
        <v>32958.944954128441</v>
      </c>
      <c r="AN112" s="48"/>
    </row>
    <row r="113" spans="1:40" s="4" customFormat="1" ht="18.5">
      <c r="A113" s="198"/>
      <c r="B113" s="147" t="s">
        <v>146</v>
      </c>
      <c r="C113" s="137" t="s">
        <v>160</v>
      </c>
      <c r="D113" s="138">
        <v>5000000</v>
      </c>
      <c r="E113" s="137">
        <v>1</v>
      </c>
      <c r="F113" s="139">
        <f>E113*D113</f>
        <v>5000000</v>
      </c>
      <c r="G113" s="152">
        <v>1</v>
      </c>
      <c r="H113" s="144">
        <f>G113*D113*($H$5)^1</f>
        <v>5250000</v>
      </c>
      <c r="I113" s="152"/>
      <c r="J113" s="144">
        <f>D113*I113*($J$5)^2</f>
        <v>0</v>
      </c>
      <c r="K113" s="152"/>
      <c r="L113" s="144">
        <f>F113*K113*($L$5)^3</f>
        <v>0</v>
      </c>
      <c r="M113" s="145">
        <f>+E113+G113+I113+K113</f>
        <v>2</v>
      </c>
      <c r="N113" s="146">
        <f>L113+J113+H113+F113</f>
        <v>10250000</v>
      </c>
      <c r="O113" s="141" t="b">
        <f t="shared" si="62"/>
        <v>1</v>
      </c>
      <c r="P113" s="131"/>
      <c r="S113" s="182">
        <f t="shared" si="103"/>
        <v>5000000</v>
      </c>
      <c r="T113" s="183" t="s">
        <v>76</v>
      </c>
      <c r="U113" s="184">
        <f t="shared" si="104"/>
        <v>5250000</v>
      </c>
      <c r="V113" s="183" t="s">
        <v>77</v>
      </c>
      <c r="W113" s="184">
        <f t="shared" si="105"/>
        <v>0</v>
      </c>
      <c r="X113" s="183" t="s">
        <v>78</v>
      </c>
      <c r="Y113" s="184">
        <f t="shared" si="106"/>
        <v>0</v>
      </c>
      <c r="Z113" s="183" t="s">
        <v>79</v>
      </c>
      <c r="AA113" s="185">
        <f t="shared" si="107"/>
        <v>10250000</v>
      </c>
      <c r="AB113" s="42">
        <f t="shared" si="57"/>
        <v>0</v>
      </c>
      <c r="AC113" s="186">
        <f t="shared" si="108"/>
        <v>2293.5779816513759</v>
      </c>
      <c r="AD113" s="184">
        <f t="shared" si="109"/>
        <v>2408.2568807339449</v>
      </c>
      <c r="AE113" s="184">
        <f t="shared" si="110"/>
        <v>0</v>
      </c>
      <c r="AF113" s="184">
        <f t="shared" si="111"/>
        <v>0</v>
      </c>
      <c r="AG113" s="185">
        <f t="shared" si="112"/>
        <v>4701.8348623853208</v>
      </c>
      <c r="AI113" s="187">
        <f t="shared" si="113"/>
        <v>19387.614678899081</v>
      </c>
      <c r="AJ113" s="188">
        <f t="shared" si="113"/>
        <v>20356.995412844033</v>
      </c>
      <c r="AK113" s="188">
        <f t="shared" si="113"/>
        <v>0</v>
      </c>
      <c r="AL113" s="188">
        <f t="shared" si="113"/>
        <v>0</v>
      </c>
      <c r="AM113" s="189">
        <f t="shared" si="114"/>
        <v>39744.610091743118</v>
      </c>
      <c r="AN113" s="48"/>
    </row>
    <row r="114" spans="1:40" s="4" customFormat="1" ht="18.5">
      <c r="A114" s="5"/>
      <c r="B114" s="147" t="s">
        <v>147</v>
      </c>
      <c r="C114" s="137"/>
      <c r="D114" s="138"/>
      <c r="E114" s="137"/>
      <c r="F114" s="139"/>
      <c r="G114" s="152"/>
      <c r="H114" s="144"/>
      <c r="I114" s="152"/>
      <c r="J114" s="144"/>
      <c r="K114" s="152"/>
      <c r="L114" s="144"/>
      <c r="M114" s="145"/>
      <c r="N114" s="146"/>
      <c r="O114" s="141" t="b">
        <f t="shared" si="62"/>
        <v>1</v>
      </c>
      <c r="P114" s="131"/>
      <c r="S114" s="182"/>
      <c r="T114" s="183"/>
      <c r="U114" s="186"/>
      <c r="V114" s="183"/>
      <c r="W114" s="186"/>
      <c r="X114" s="183"/>
      <c r="Y114" s="186"/>
      <c r="Z114" s="183"/>
      <c r="AA114" s="222"/>
      <c r="AB114" s="42"/>
      <c r="AC114" s="186"/>
      <c r="AD114" s="186"/>
      <c r="AE114" s="186"/>
      <c r="AF114" s="186"/>
      <c r="AG114" s="222"/>
      <c r="AI114" s="187"/>
      <c r="AJ114" s="188"/>
      <c r="AK114" s="188"/>
      <c r="AL114" s="188"/>
      <c r="AM114" s="223"/>
    </row>
    <row r="115" spans="1:40" s="4" customFormat="1" ht="14.25" customHeight="1">
      <c r="B115" s="147" t="s">
        <v>148</v>
      </c>
      <c r="C115" s="137"/>
      <c r="D115" s="138"/>
      <c r="E115" s="272"/>
      <c r="F115" s="139"/>
      <c r="G115" s="137"/>
      <c r="H115" s="139"/>
      <c r="I115" s="137"/>
      <c r="J115" s="139"/>
      <c r="K115" s="137"/>
      <c r="L115" s="139"/>
      <c r="M115" s="141"/>
      <c r="N115" s="138"/>
      <c r="O115" s="141" t="b">
        <f t="shared" si="62"/>
        <v>1</v>
      </c>
      <c r="P115" s="131"/>
      <c r="S115" s="182">
        <f>F115</f>
        <v>0</v>
      </c>
      <c r="T115" s="183" t="s">
        <v>76</v>
      </c>
      <c r="U115" s="184">
        <f>H115</f>
        <v>0</v>
      </c>
      <c r="V115" s="183" t="s">
        <v>77</v>
      </c>
      <c r="W115" s="184">
        <f>J115</f>
        <v>0</v>
      </c>
      <c r="X115" s="183" t="s">
        <v>78</v>
      </c>
      <c r="Y115" s="184">
        <f>L115</f>
        <v>0</v>
      </c>
      <c r="Z115" s="183" t="s">
        <v>79</v>
      </c>
      <c r="AA115" s="185">
        <f>SUM(S115:Y115)</f>
        <v>0</v>
      </c>
      <c r="AB115" s="42">
        <f t="shared" ref="AB115:AB142" si="116">N115-AA115</f>
        <v>0</v>
      </c>
      <c r="AC115" s="186">
        <f>S115/$AE$4</f>
        <v>0</v>
      </c>
      <c r="AD115" s="184">
        <f>U115/$AE$4</f>
        <v>0</v>
      </c>
      <c r="AE115" s="184">
        <f>W115/$AE$4</f>
        <v>0</v>
      </c>
      <c r="AF115" s="184">
        <f>Y115/$AE$4</f>
        <v>0</v>
      </c>
      <c r="AG115" s="185">
        <f>SUM(AC115:AF115)</f>
        <v>0</v>
      </c>
      <c r="AI115" s="187">
        <f t="shared" ref="AI115:AL115" si="117">AC115*$AK$4</f>
        <v>0</v>
      </c>
      <c r="AJ115" s="188">
        <f t="shared" si="117"/>
        <v>0</v>
      </c>
      <c r="AK115" s="188">
        <f t="shared" si="117"/>
        <v>0</v>
      </c>
      <c r="AL115" s="188">
        <f t="shared" si="117"/>
        <v>0</v>
      </c>
      <c r="AM115" s="189">
        <f>SUM(AI115:AL115)</f>
        <v>0</v>
      </c>
    </row>
    <row r="116" spans="1:40" s="4" customFormat="1" ht="49.5" customHeight="1">
      <c r="B116" s="50" t="s">
        <v>161</v>
      </c>
      <c r="C116" s="381"/>
      <c r="D116" s="168"/>
      <c r="E116" s="381"/>
      <c r="F116" s="166">
        <f>SUM(F117:F124)</f>
        <v>12075000</v>
      </c>
      <c r="G116" s="168"/>
      <c r="H116" s="166">
        <f>SUM(H117:H124)</f>
        <v>21000000</v>
      </c>
      <c r="I116" s="168"/>
      <c r="J116" s="166">
        <f>SUM(J117:J124)</f>
        <v>0</v>
      </c>
      <c r="K116" s="168"/>
      <c r="L116" s="166">
        <f>SUM(L117:L124)</f>
        <v>0</v>
      </c>
      <c r="M116" s="166"/>
      <c r="N116" s="166">
        <f>SUM(N117:N124)</f>
        <v>33075000</v>
      </c>
      <c r="O116" s="141" t="b">
        <f t="shared" si="62"/>
        <v>0</v>
      </c>
      <c r="P116" s="167"/>
      <c r="S116" s="383" t="e">
        <f>#REF!</f>
        <v>#REF!</v>
      </c>
      <c r="T116" s="183" t="s">
        <v>76</v>
      </c>
      <c r="U116" s="166">
        <f>SUM(U117:U124)</f>
        <v>21000000</v>
      </c>
      <c r="V116" s="183" t="s">
        <v>77</v>
      </c>
      <c r="W116" s="166">
        <f>SUM(W117:W124)</f>
        <v>0</v>
      </c>
      <c r="X116" s="183" t="s">
        <v>78</v>
      </c>
      <c r="Y116" s="166">
        <f>SUM(Y117:Y124)</f>
        <v>0</v>
      </c>
      <c r="Z116" s="183" t="s">
        <v>79</v>
      </c>
      <c r="AA116" s="166">
        <f>SUM(AA117:AA124)</f>
        <v>33075000</v>
      </c>
      <c r="AB116" s="42">
        <f t="shared" si="116"/>
        <v>0</v>
      </c>
      <c r="AC116" s="166">
        <f>SUM(AC117:AC124)</f>
        <v>5538.9908256880735</v>
      </c>
      <c r="AD116" s="166">
        <f>SUM(AD117:AD124)</f>
        <v>9633.0275229357794</v>
      </c>
      <c r="AE116" s="166">
        <f>SUM(AE117:AE124)</f>
        <v>0</v>
      </c>
      <c r="AF116" s="166">
        <f>SUM(AF117:AF124)</f>
        <v>0</v>
      </c>
      <c r="AG116" s="166">
        <f>SUM(AG117:AG124)</f>
        <v>15172.018348623853</v>
      </c>
      <c r="AI116" s="166">
        <f>SUM(AI117:AI124)</f>
        <v>46821.089449541279</v>
      </c>
      <c r="AJ116" s="166">
        <f>SUM(AJ117:AJ124)</f>
        <v>81427.981651376133</v>
      </c>
      <c r="AK116" s="166">
        <f>SUM(AK117:AK124)</f>
        <v>0</v>
      </c>
      <c r="AL116" s="166">
        <f>SUM(AL117:AL124)</f>
        <v>0</v>
      </c>
      <c r="AM116" s="166">
        <f>SUM(AM117:AM124)</f>
        <v>128249.07110091741</v>
      </c>
    </row>
    <row r="117" spans="1:40" s="4" customFormat="1" ht="18.5">
      <c r="B117" s="147" t="s">
        <v>139</v>
      </c>
      <c r="C117" s="137"/>
      <c r="D117" s="138"/>
      <c r="E117" s="137"/>
      <c r="F117" s="139"/>
      <c r="G117" s="152"/>
      <c r="H117" s="144"/>
      <c r="I117" s="152"/>
      <c r="J117" s="144"/>
      <c r="K117" s="152"/>
      <c r="L117" s="144"/>
      <c r="M117" s="145"/>
      <c r="N117" s="146"/>
      <c r="O117" s="141" t="b">
        <f t="shared" si="62"/>
        <v>1</v>
      </c>
      <c r="P117" s="131"/>
      <c r="S117" s="182">
        <f t="shared" ref="S117:S124" si="118">F117</f>
        <v>0</v>
      </c>
      <c r="T117" s="183" t="s">
        <v>76</v>
      </c>
      <c r="U117" s="184">
        <f t="shared" ref="U117:U124" si="119">H117</f>
        <v>0</v>
      </c>
      <c r="V117" s="183" t="s">
        <v>77</v>
      </c>
      <c r="W117" s="184">
        <f t="shared" ref="W117:W124" si="120">J117</f>
        <v>0</v>
      </c>
      <c r="X117" s="183" t="s">
        <v>78</v>
      </c>
      <c r="Y117" s="184">
        <f t="shared" ref="Y117:Y124" si="121">L117</f>
        <v>0</v>
      </c>
      <c r="Z117" s="183" t="s">
        <v>79</v>
      </c>
      <c r="AA117" s="185">
        <f t="shared" ref="AA117:AA124" si="122">SUM(S117:Y117)</f>
        <v>0</v>
      </c>
      <c r="AB117" s="42">
        <f t="shared" si="116"/>
        <v>0</v>
      </c>
      <c r="AC117" s="186">
        <f t="shared" ref="AC117:AC124" si="123">S117/$AE$4</f>
        <v>0</v>
      </c>
      <c r="AD117" s="184">
        <f t="shared" ref="AD117:AD124" si="124">U117/$AE$4</f>
        <v>0</v>
      </c>
      <c r="AE117" s="184">
        <f t="shared" ref="AE117:AE124" si="125">W117/$AE$4</f>
        <v>0</v>
      </c>
      <c r="AF117" s="184">
        <f t="shared" ref="AF117:AF124" si="126">Y117/$AE$4</f>
        <v>0</v>
      </c>
      <c r="AG117" s="185">
        <f t="shared" ref="AG117:AG124" si="127">SUM(AC117:AF117)</f>
        <v>0</v>
      </c>
      <c r="AI117" s="187">
        <f t="shared" ref="AI117:AL120" si="128">AC117*$AK$4</f>
        <v>0</v>
      </c>
      <c r="AJ117" s="188">
        <f t="shared" si="128"/>
        <v>0</v>
      </c>
      <c r="AK117" s="188">
        <f t="shared" si="128"/>
        <v>0</v>
      </c>
      <c r="AL117" s="188">
        <f t="shared" si="128"/>
        <v>0</v>
      </c>
      <c r="AM117" s="189">
        <f t="shared" ref="AM117:AM124" si="129">SUM(AI117:AL117)</f>
        <v>0</v>
      </c>
    </row>
    <row r="118" spans="1:40" s="4" customFormat="1" ht="14.25" customHeight="1">
      <c r="B118" s="147" t="s">
        <v>141</v>
      </c>
      <c r="C118" s="137"/>
      <c r="D118" s="138"/>
      <c r="E118" s="137"/>
      <c r="F118" s="139"/>
      <c r="G118" s="152"/>
      <c r="H118" s="144"/>
      <c r="I118" s="152"/>
      <c r="J118" s="144"/>
      <c r="K118" s="152"/>
      <c r="L118" s="144"/>
      <c r="M118" s="145"/>
      <c r="N118" s="146"/>
      <c r="O118" s="141" t="b">
        <f t="shared" si="62"/>
        <v>1</v>
      </c>
      <c r="P118" s="131"/>
      <c r="S118" s="182">
        <f t="shared" si="118"/>
        <v>0</v>
      </c>
      <c r="T118" s="183" t="s">
        <v>76</v>
      </c>
      <c r="U118" s="184">
        <f t="shared" si="119"/>
        <v>0</v>
      </c>
      <c r="V118" s="183" t="s">
        <v>77</v>
      </c>
      <c r="W118" s="184">
        <f t="shared" si="120"/>
        <v>0</v>
      </c>
      <c r="X118" s="183" t="s">
        <v>78</v>
      </c>
      <c r="Y118" s="184">
        <f t="shared" si="121"/>
        <v>0</v>
      </c>
      <c r="Z118" s="183" t="s">
        <v>79</v>
      </c>
      <c r="AA118" s="185">
        <f t="shared" si="122"/>
        <v>0</v>
      </c>
      <c r="AB118" s="42">
        <f t="shared" si="116"/>
        <v>0</v>
      </c>
      <c r="AC118" s="186">
        <f t="shared" si="123"/>
        <v>0</v>
      </c>
      <c r="AD118" s="184">
        <f t="shared" si="124"/>
        <v>0</v>
      </c>
      <c r="AE118" s="184">
        <f t="shared" si="125"/>
        <v>0</v>
      </c>
      <c r="AF118" s="184">
        <f t="shared" si="126"/>
        <v>0</v>
      </c>
      <c r="AG118" s="185">
        <f t="shared" si="127"/>
        <v>0</v>
      </c>
      <c r="AI118" s="187">
        <f t="shared" si="128"/>
        <v>0</v>
      </c>
      <c r="AJ118" s="188">
        <f t="shared" si="128"/>
        <v>0</v>
      </c>
      <c r="AK118" s="188">
        <f t="shared" si="128"/>
        <v>0</v>
      </c>
      <c r="AL118" s="188">
        <f t="shared" si="128"/>
        <v>0</v>
      </c>
      <c r="AM118" s="189">
        <f t="shared" si="129"/>
        <v>0</v>
      </c>
    </row>
    <row r="119" spans="1:40" s="4" customFormat="1" ht="60" customHeight="1">
      <c r="A119" s="198"/>
      <c r="B119" s="147" t="s">
        <v>142</v>
      </c>
      <c r="C119" s="137" t="s">
        <v>158</v>
      </c>
      <c r="D119" s="138">
        <v>20000000</v>
      </c>
      <c r="E119" s="137"/>
      <c r="F119" s="139">
        <f>E119*D119</f>
        <v>0</v>
      </c>
      <c r="G119" s="152">
        <v>1</v>
      </c>
      <c r="H119" s="144">
        <f t="shared" ref="H119:H124" si="130">G119*D119*($H$5)^1</f>
        <v>21000000</v>
      </c>
      <c r="I119" s="152"/>
      <c r="J119" s="144">
        <f t="shared" ref="J119:J124" si="131">D119*I119*($J$5)^2</f>
        <v>0</v>
      </c>
      <c r="K119" s="152"/>
      <c r="L119" s="144">
        <f t="shared" ref="L119:L124" si="132">F119*K119*($L$5)^3</f>
        <v>0</v>
      </c>
      <c r="M119" s="145">
        <f t="shared" ref="M119:M124" si="133">+E119+G119+I119+K119</f>
        <v>1</v>
      </c>
      <c r="N119" s="146">
        <f t="shared" ref="N119:N124" si="134">L119+J119+H119+F119</f>
        <v>21000000</v>
      </c>
      <c r="O119" s="141" t="b">
        <f t="shared" si="62"/>
        <v>1</v>
      </c>
      <c r="P119" s="131"/>
      <c r="S119" s="182">
        <f t="shared" si="118"/>
        <v>0</v>
      </c>
      <c r="T119" s="183" t="s">
        <v>76</v>
      </c>
      <c r="U119" s="184">
        <f t="shared" si="119"/>
        <v>21000000</v>
      </c>
      <c r="V119" s="183" t="s">
        <v>77</v>
      </c>
      <c r="W119" s="184">
        <f t="shared" si="120"/>
        <v>0</v>
      </c>
      <c r="X119" s="183" t="s">
        <v>78</v>
      </c>
      <c r="Y119" s="184">
        <f t="shared" si="121"/>
        <v>0</v>
      </c>
      <c r="Z119" s="183" t="s">
        <v>79</v>
      </c>
      <c r="AA119" s="185">
        <f t="shared" si="122"/>
        <v>21000000</v>
      </c>
      <c r="AB119" s="42">
        <f t="shared" si="116"/>
        <v>0</v>
      </c>
      <c r="AC119" s="186">
        <f t="shared" si="123"/>
        <v>0</v>
      </c>
      <c r="AD119" s="184">
        <f t="shared" si="124"/>
        <v>9633.0275229357794</v>
      </c>
      <c r="AE119" s="184">
        <f t="shared" si="125"/>
        <v>0</v>
      </c>
      <c r="AF119" s="184">
        <f t="shared" si="126"/>
        <v>0</v>
      </c>
      <c r="AG119" s="185">
        <f t="shared" si="127"/>
        <v>9633.0275229357794</v>
      </c>
      <c r="AI119" s="187">
        <f t="shared" si="128"/>
        <v>0</v>
      </c>
      <c r="AJ119" s="188">
        <f t="shared" si="128"/>
        <v>81427.981651376133</v>
      </c>
      <c r="AK119" s="188">
        <f t="shared" si="128"/>
        <v>0</v>
      </c>
      <c r="AL119" s="188">
        <f t="shared" si="128"/>
        <v>0</v>
      </c>
      <c r="AM119" s="189">
        <f t="shared" si="129"/>
        <v>81427.981651376133</v>
      </c>
    </row>
    <row r="120" spans="1:40" s="4" customFormat="1" ht="18.5">
      <c r="B120" s="147" t="s">
        <v>143</v>
      </c>
      <c r="C120" s="137"/>
      <c r="D120" s="138"/>
      <c r="E120" s="137"/>
      <c r="F120" s="139">
        <f>E120*D120</f>
        <v>0</v>
      </c>
      <c r="G120" s="152">
        <v>1</v>
      </c>
      <c r="H120" s="144">
        <f t="shared" si="130"/>
        <v>0</v>
      </c>
      <c r="I120" s="152">
        <v>1</v>
      </c>
      <c r="J120" s="144">
        <f t="shared" si="131"/>
        <v>0</v>
      </c>
      <c r="K120" s="152">
        <v>1</v>
      </c>
      <c r="L120" s="144">
        <f t="shared" si="132"/>
        <v>0</v>
      </c>
      <c r="M120" s="145">
        <f t="shared" si="133"/>
        <v>3</v>
      </c>
      <c r="N120" s="146">
        <f t="shared" si="134"/>
        <v>0</v>
      </c>
      <c r="O120" s="141" t="b">
        <f t="shared" si="62"/>
        <v>1</v>
      </c>
      <c r="P120" s="131"/>
      <c r="S120" s="182">
        <f t="shared" si="118"/>
        <v>0</v>
      </c>
      <c r="T120" s="183" t="s">
        <v>76</v>
      </c>
      <c r="U120" s="184">
        <f t="shared" si="119"/>
        <v>0</v>
      </c>
      <c r="V120" s="183" t="s">
        <v>77</v>
      </c>
      <c r="W120" s="184">
        <f t="shared" si="120"/>
        <v>0</v>
      </c>
      <c r="X120" s="183" t="s">
        <v>78</v>
      </c>
      <c r="Y120" s="184">
        <f t="shared" si="121"/>
        <v>0</v>
      </c>
      <c r="Z120" s="183" t="s">
        <v>79</v>
      </c>
      <c r="AA120" s="185">
        <f t="shared" si="122"/>
        <v>0</v>
      </c>
      <c r="AB120" s="42">
        <f t="shared" si="116"/>
        <v>0</v>
      </c>
      <c r="AC120" s="186">
        <f t="shared" si="123"/>
        <v>0</v>
      </c>
      <c r="AD120" s="184">
        <f t="shared" si="124"/>
        <v>0</v>
      </c>
      <c r="AE120" s="184">
        <f t="shared" si="125"/>
        <v>0</v>
      </c>
      <c r="AF120" s="184">
        <f t="shared" si="126"/>
        <v>0</v>
      </c>
      <c r="AG120" s="185">
        <f t="shared" si="127"/>
        <v>0</v>
      </c>
      <c r="AI120" s="187">
        <f t="shared" si="128"/>
        <v>0</v>
      </c>
      <c r="AJ120" s="188">
        <f t="shared" si="128"/>
        <v>0</v>
      </c>
      <c r="AK120" s="188">
        <f t="shared" si="128"/>
        <v>0</v>
      </c>
      <c r="AL120" s="188">
        <f t="shared" si="128"/>
        <v>0</v>
      </c>
      <c r="AM120" s="189">
        <f t="shared" si="129"/>
        <v>0</v>
      </c>
    </row>
    <row r="121" spans="1:40" s="4" customFormat="1" ht="60" customHeight="1">
      <c r="A121" s="198"/>
      <c r="B121" s="147" t="s">
        <v>144</v>
      </c>
      <c r="C121" s="137" t="s">
        <v>159</v>
      </c>
      <c r="D121" s="138">
        <v>11500000</v>
      </c>
      <c r="E121" s="137">
        <v>1</v>
      </c>
      <c r="F121" s="139">
        <v>12075000</v>
      </c>
      <c r="G121" s="152">
        <v>0</v>
      </c>
      <c r="H121" s="144">
        <f t="shared" si="130"/>
        <v>0</v>
      </c>
      <c r="I121" s="152"/>
      <c r="J121" s="144">
        <f t="shared" si="131"/>
        <v>0</v>
      </c>
      <c r="K121" s="152"/>
      <c r="L121" s="144">
        <f t="shared" si="132"/>
        <v>0</v>
      </c>
      <c r="M121" s="145">
        <f t="shared" si="133"/>
        <v>1</v>
      </c>
      <c r="N121" s="146">
        <f t="shared" si="134"/>
        <v>12075000</v>
      </c>
      <c r="O121" s="141" t="b">
        <f t="shared" si="62"/>
        <v>0</v>
      </c>
      <c r="P121" s="131"/>
      <c r="S121" s="182">
        <f t="shared" si="118"/>
        <v>12075000</v>
      </c>
      <c r="T121" s="183" t="s">
        <v>76</v>
      </c>
      <c r="U121" s="184">
        <f t="shared" si="119"/>
        <v>0</v>
      </c>
      <c r="V121" s="183" t="s">
        <v>77</v>
      </c>
      <c r="W121" s="184">
        <f t="shared" si="120"/>
        <v>0</v>
      </c>
      <c r="X121" s="183" t="s">
        <v>78</v>
      </c>
      <c r="Y121" s="184">
        <f t="shared" si="121"/>
        <v>0</v>
      </c>
      <c r="Z121" s="183" t="s">
        <v>79</v>
      </c>
      <c r="AA121" s="185">
        <f t="shared" si="122"/>
        <v>12075000</v>
      </c>
      <c r="AB121" s="42">
        <f t="shared" si="116"/>
        <v>0</v>
      </c>
      <c r="AC121" s="186">
        <f t="shared" si="123"/>
        <v>5538.9908256880735</v>
      </c>
      <c r="AD121" s="184">
        <f t="shared" si="124"/>
        <v>0</v>
      </c>
      <c r="AE121" s="184">
        <f t="shared" si="125"/>
        <v>0</v>
      </c>
      <c r="AF121" s="184">
        <f t="shared" si="126"/>
        <v>0</v>
      </c>
      <c r="AG121" s="185">
        <f t="shared" si="127"/>
        <v>5538.9908256880735</v>
      </c>
      <c r="AI121" s="187">
        <f>AC121*$AK$4</f>
        <v>46821.089449541279</v>
      </c>
      <c r="AJ121" s="188">
        <f>AD121*$AK$4</f>
        <v>0</v>
      </c>
      <c r="AK121" s="188">
        <f>AE121*$AK$4</f>
        <v>0</v>
      </c>
      <c r="AL121" s="188">
        <f>AF121*$AK$4</f>
        <v>0</v>
      </c>
      <c r="AM121" s="189">
        <f t="shared" si="129"/>
        <v>46821.089449541279</v>
      </c>
      <c r="AN121" s="48"/>
    </row>
    <row r="122" spans="1:40" s="4" customFormat="1" ht="18.5">
      <c r="B122" s="147" t="s">
        <v>145</v>
      </c>
      <c r="C122" s="137"/>
      <c r="D122" s="138"/>
      <c r="E122" s="137"/>
      <c r="F122" s="139">
        <f>E122*D122</f>
        <v>0</v>
      </c>
      <c r="G122" s="152">
        <v>1</v>
      </c>
      <c r="H122" s="144">
        <f t="shared" si="130"/>
        <v>0</v>
      </c>
      <c r="I122" s="152"/>
      <c r="J122" s="144">
        <f t="shared" si="131"/>
        <v>0</v>
      </c>
      <c r="K122" s="152"/>
      <c r="L122" s="144">
        <f t="shared" si="132"/>
        <v>0</v>
      </c>
      <c r="M122" s="145">
        <f t="shared" si="133"/>
        <v>1</v>
      </c>
      <c r="N122" s="146">
        <f t="shared" si="134"/>
        <v>0</v>
      </c>
      <c r="O122" s="141" t="b">
        <f t="shared" si="62"/>
        <v>1</v>
      </c>
      <c r="P122" s="131"/>
      <c r="S122" s="182">
        <f t="shared" si="118"/>
        <v>0</v>
      </c>
      <c r="T122" s="183" t="s">
        <v>76</v>
      </c>
      <c r="U122" s="184">
        <f t="shared" si="119"/>
        <v>0</v>
      </c>
      <c r="V122" s="183" t="s">
        <v>77</v>
      </c>
      <c r="W122" s="184">
        <f t="shared" si="120"/>
        <v>0</v>
      </c>
      <c r="X122" s="183" t="s">
        <v>78</v>
      </c>
      <c r="Y122" s="184">
        <f t="shared" si="121"/>
        <v>0</v>
      </c>
      <c r="Z122" s="183" t="s">
        <v>79</v>
      </c>
      <c r="AA122" s="185">
        <f t="shared" si="122"/>
        <v>0</v>
      </c>
      <c r="AB122" s="42">
        <f t="shared" si="116"/>
        <v>0</v>
      </c>
      <c r="AC122" s="186">
        <f t="shared" si="123"/>
        <v>0</v>
      </c>
      <c r="AD122" s="184">
        <f t="shared" si="124"/>
        <v>0</v>
      </c>
      <c r="AE122" s="184">
        <f t="shared" si="125"/>
        <v>0</v>
      </c>
      <c r="AF122" s="184">
        <f t="shared" si="126"/>
        <v>0</v>
      </c>
      <c r="AG122" s="185">
        <f t="shared" si="127"/>
        <v>0</v>
      </c>
      <c r="AI122" s="187">
        <f t="shared" ref="AI122:AL124" si="135">AC122*$AK$4</f>
        <v>0</v>
      </c>
      <c r="AJ122" s="188">
        <f t="shared" si="135"/>
        <v>0</v>
      </c>
      <c r="AK122" s="188">
        <f t="shared" si="135"/>
        <v>0</v>
      </c>
      <c r="AL122" s="188">
        <f t="shared" si="135"/>
        <v>0</v>
      </c>
      <c r="AM122" s="189">
        <f t="shared" si="129"/>
        <v>0</v>
      </c>
    </row>
    <row r="123" spans="1:40" s="4" customFormat="1" ht="18.5">
      <c r="B123" s="147" t="s">
        <v>146</v>
      </c>
      <c r="C123" s="137"/>
      <c r="D123" s="138"/>
      <c r="E123" s="137"/>
      <c r="F123" s="139">
        <f>E123*D123</f>
        <v>0</v>
      </c>
      <c r="G123" s="152">
        <v>1</v>
      </c>
      <c r="H123" s="144">
        <f t="shared" si="130"/>
        <v>0</v>
      </c>
      <c r="I123" s="152">
        <v>1</v>
      </c>
      <c r="J123" s="144">
        <f t="shared" si="131"/>
        <v>0</v>
      </c>
      <c r="K123" s="152">
        <v>1</v>
      </c>
      <c r="L123" s="144">
        <f t="shared" si="132"/>
        <v>0</v>
      </c>
      <c r="M123" s="145">
        <f t="shared" si="133"/>
        <v>3</v>
      </c>
      <c r="N123" s="146">
        <f t="shared" si="134"/>
        <v>0</v>
      </c>
      <c r="O123" s="141" t="b">
        <f t="shared" si="62"/>
        <v>1</v>
      </c>
      <c r="P123" s="131"/>
      <c r="S123" s="182">
        <f t="shared" si="118"/>
        <v>0</v>
      </c>
      <c r="T123" s="183" t="s">
        <v>76</v>
      </c>
      <c r="U123" s="184">
        <f t="shared" si="119"/>
        <v>0</v>
      </c>
      <c r="V123" s="183" t="s">
        <v>77</v>
      </c>
      <c r="W123" s="184">
        <f t="shared" si="120"/>
        <v>0</v>
      </c>
      <c r="X123" s="183" t="s">
        <v>78</v>
      </c>
      <c r="Y123" s="184">
        <f t="shared" si="121"/>
        <v>0</v>
      </c>
      <c r="Z123" s="183" t="s">
        <v>79</v>
      </c>
      <c r="AA123" s="185">
        <f t="shared" si="122"/>
        <v>0</v>
      </c>
      <c r="AB123" s="42">
        <f t="shared" si="116"/>
        <v>0</v>
      </c>
      <c r="AC123" s="186">
        <f t="shared" si="123"/>
        <v>0</v>
      </c>
      <c r="AD123" s="184">
        <f t="shared" si="124"/>
        <v>0</v>
      </c>
      <c r="AE123" s="184">
        <f t="shared" si="125"/>
        <v>0</v>
      </c>
      <c r="AF123" s="184">
        <f t="shared" si="126"/>
        <v>0</v>
      </c>
      <c r="AG123" s="185">
        <f t="shared" si="127"/>
        <v>0</v>
      </c>
      <c r="AI123" s="187">
        <f t="shared" si="135"/>
        <v>0</v>
      </c>
      <c r="AJ123" s="188">
        <f t="shared" si="135"/>
        <v>0</v>
      </c>
      <c r="AK123" s="188">
        <f t="shared" si="135"/>
        <v>0</v>
      </c>
      <c r="AL123" s="188">
        <f t="shared" si="135"/>
        <v>0</v>
      </c>
      <c r="AM123" s="189">
        <f t="shared" si="129"/>
        <v>0</v>
      </c>
    </row>
    <row r="124" spans="1:40" s="4" customFormat="1" ht="14.25" customHeight="1">
      <c r="B124" s="147" t="s">
        <v>147</v>
      </c>
      <c r="C124" s="137"/>
      <c r="D124" s="138"/>
      <c r="E124" s="137">
        <v>1</v>
      </c>
      <c r="F124" s="139">
        <f>E124*D124</f>
        <v>0</v>
      </c>
      <c r="G124" s="152">
        <v>1</v>
      </c>
      <c r="H124" s="144">
        <f t="shared" si="130"/>
        <v>0</v>
      </c>
      <c r="I124" s="152">
        <v>1</v>
      </c>
      <c r="J124" s="144">
        <f t="shared" si="131"/>
        <v>0</v>
      </c>
      <c r="K124" s="152">
        <v>1</v>
      </c>
      <c r="L124" s="144">
        <f t="shared" si="132"/>
        <v>0</v>
      </c>
      <c r="M124" s="145">
        <f t="shared" si="133"/>
        <v>4</v>
      </c>
      <c r="N124" s="146">
        <f t="shared" si="134"/>
        <v>0</v>
      </c>
      <c r="O124" s="141" t="b">
        <f t="shared" si="62"/>
        <v>1</v>
      </c>
      <c r="P124" s="131"/>
      <c r="S124" s="182">
        <f t="shared" si="118"/>
        <v>0</v>
      </c>
      <c r="T124" s="183" t="s">
        <v>76</v>
      </c>
      <c r="U124" s="184">
        <f t="shared" si="119"/>
        <v>0</v>
      </c>
      <c r="V124" s="183" t="s">
        <v>77</v>
      </c>
      <c r="W124" s="184">
        <f t="shared" si="120"/>
        <v>0</v>
      </c>
      <c r="X124" s="183" t="s">
        <v>78</v>
      </c>
      <c r="Y124" s="184">
        <f t="shared" si="121"/>
        <v>0</v>
      </c>
      <c r="Z124" s="183" t="s">
        <v>79</v>
      </c>
      <c r="AA124" s="185">
        <f t="shared" si="122"/>
        <v>0</v>
      </c>
      <c r="AB124" s="42">
        <f t="shared" si="116"/>
        <v>0</v>
      </c>
      <c r="AC124" s="186">
        <f t="shared" si="123"/>
        <v>0</v>
      </c>
      <c r="AD124" s="184">
        <f t="shared" si="124"/>
        <v>0</v>
      </c>
      <c r="AE124" s="184">
        <f t="shared" si="125"/>
        <v>0</v>
      </c>
      <c r="AF124" s="184">
        <f t="shared" si="126"/>
        <v>0</v>
      </c>
      <c r="AG124" s="185">
        <f t="shared" si="127"/>
        <v>0</v>
      </c>
      <c r="AI124" s="187">
        <f t="shared" si="135"/>
        <v>0</v>
      </c>
      <c r="AJ124" s="188">
        <f t="shared" si="135"/>
        <v>0</v>
      </c>
      <c r="AK124" s="188">
        <f t="shared" si="135"/>
        <v>0</v>
      </c>
      <c r="AL124" s="188">
        <f t="shared" si="135"/>
        <v>0</v>
      </c>
      <c r="AM124" s="189">
        <f t="shared" si="129"/>
        <v>0</v>
      </c>
    </row>
    <row r="125" spans="1:40" s="4" customFormat="1" ht="58.5" customHeight="1">
      <c r="B125" s="49" t="s">
        <v>162</v>
      </c>
      <c r="C125" s="388"/>
      <c r="D125" s="388"/>
      <c r="E125" s="388"/>
      <c r="F125" s="383">
        <f>SUM(F126:F133)</f>
        <v>28000000</v>
      </c>
      <c r="G125" s="388"/>
      <c r="H125" s="383">
        <f>SUM(H126:H133)</f>
        <v>102900</v>
      </c>
      <c r="I125" s="388"/>
      <c r="J125" s="383">
        <f>SUM(J126:J133)</f>
        <v>15543045</v>
      </c>
      <c r="K125" s="388"/>
      <c r="L125" s="383">
        <f>SUM(L126:L133)</f>
        <v>16320197.250000002</v>
      </c>
      <c r="M125" s="388"/>
      <c r="N125" s="383">
        <f>SUM(N126:N133)</f>
        <v>59966142.25</v>
      </c>
      <c r="O125" s="141" t="b">
        <f t="shared" si="62"/>
        <v>0</v>
      </c>
      <c r="P125" s="389"/>
      <c r="S125" s="383" t="e">
        <f ca="1">SUM(S126:S140)</f>
        <v>#REF!</v>
      </c>
      <c r="T125" s="183" t="s">
        <v>76</v>
      </c>
      <c r="U125" s="383" t="e">
        <f ca="1">SUM(U126:U140)</f>
        <v>#REF!</v>
      </c>
      <c r="V125" s="183" t="s">
        <v>77</v>
      </c>
      <c r="W125" s="383" t="e">
        <f ca="1">SUM(W126:W140)</f>
        <v>#REF!</v>
      </c>
      <c r="X125" s="183" t="s">
        <v>78</v>
      </c>
      <c r="Y125" s="383" t="e">
        <f ca="1">SUM(Y126:Y140)</f>
        <v>#REF!</v>
      </c>
      <c r="Z125" s="183" t="s">
        <v>79</v>
      </c>
      <c r="AA125" s="383" t="e">
        <f ca="1">SUM(AA126:AA140)</f>
        <v>#REF!</v>
      </c>
      <c r="AB125" s="42" t="e">
        <f t="shared" ca="1" si="116"/>
        <v>#REF!</v>
      </c>
      <c r="AC125" s="383" t="e">
        <f ca="1">SUM(AC126:AC140)</f>
        <v>#REF!</v>
      </c>
      <c r="AD125" s="383" t="e">
        <f ca="1">SUM(AD126:AD140)</f>
        <v>#REF!</v>
      </c>
      <c r="AE125" s="383" t="e">
        <f ca="1">SUM(AE126:AE140)</f>
        <v>#REF!</v>
      </c>
      <c r="AF125" s="383" t="e">
        <f ca="1">SUM(AF126:AF140)</f>
        <v>#REF!</v>
      </c>
      <c r="AG125" s="383" t="e">
        <f ca="1">SUM(AG126:AG140)</f>
        <v>#REF!</v>
      </c>
      <c r="AI125" s="383" t="e">
        <f ca="1">SUM(AI126:AI140)</f>
        <v>#REF!</v>
      </c>
      <c r="AJ125" s="383" t="e">
        <f ca="1">SUM(AJ126:AJ140)</f>
        <v>#REF!</v>
      </c>
      <c r="AK125" s="383" t="e">
        <f ca="1">SUM(AK126:AK140)</f>
        <v>#REF!</v>
      </c>
      <c r="AL125" s="383" t="e">
        <f ca="1">SUM(AL126:AL140)</f>
        <v>#REF!</v>
      </c>
      <c r="AM125" s="383" t="e">
        <f ca="1">SUM(AM126:AM140)</f>
        <v>#REF!</v>
      </c>
    </row>
    <row r="126" spans="1:40" s="4" customFormat="1" ht="45.75" customHeight="1">
      <c r="A126" s="198"/>
      <c r="B126" s="147" t="s">
        <v>139</v>
      </c>
      <c r="C126" s="137" t="s">
        <v>163</v>
      </c>
      <c r="D126" s="138">
        <v>3500</v>
      </c>
      <c r="E126" s="137">
        <v>1000</v>
      </c>
      <c r="F126" s="139">
        <f>E126*D126</f>
        <v>3500000</v>
      </c>
      <c r="G126" s="137">
        <v>0</v>
      </c>
      <c r="H126" s="144">
        <f>G126*D126*($H$5)^1</f>
        <v>0</v>
      </c>
      <c r="I126" s="137">
        <v>500</v>
      </c>
      <c r="J126" s="144">
        <f>D126*I126*($J$5)^2</f>
        <v>1929375</v>
      </c>
      <c r="K126" s="137">
        <v>500</v>
      </c>
      <c r="L126" s="144">
        <f>D126*K126*($L$5)^3</f>
        <v>2025843.7500000002</v>
      </c>
      <c r="M126" s="145">
        <f>+E126+G126+I126+K126</f>
        <v>2000</v>
      </c>
      <c r="N126" s="146">
        <f>L126+J126+H126+F126</f>
        <v>7455218.75</v>
      </c>
      <c r="O126" s="141" t="b">
        <f t="shared" si="62"/>
        <v>1</v>
      </c>
      <c r="P126" s="131"/>
      <c r="S126" s="182">
        <f>F126</f>
        <v>3500000</v>
      </c>
      <c r="T126" s="183" t="s">
        <v>76</v>
      </c>
      <c r="U126" s="184">
        <f>H126</f>
        <v>0</v>
      </c>
      <c r="V126" s="183" t="s">
        <v>77</v>
      </c>
      <c r="W126" s="184">
        <f>J126</f>
        <v>1929375</v>
      </c>
      <c r="X126" s="183" t="s">
        <v>78</v>
      </c>
      <c r="Y126" s="184">
        <f>L126</f>
        <v>2025843.7500000002</v>
      </c>
      <c r="Z126" s="183" t="s">
        <v>79</v>
      </c>
      <c r="AA126" s="185">
        <f>SUM(S126:Y126)</f>
        <v>7455218.75</v>
      </c>
      <c r="AB126" s="42">
        <f t="shared" si="116"/>
        <v>0</v>
      </c>
      <c r="AC126" s="186">
        <f>S126/$AE$4</f>
        <v>1605.5045871559632</v>
      </c>
      <c r="AD126" s="184">
        <f>U126/$AE$4</f>
        <v>0</v>
      </c>
      <c r="AE126" s="184">
        <f>W126/$AE$4</f>
        <v>885.03440366972472</v>
      </c>
      <c r="AF126" s="184">
        <f>Y126/$AE$4</f>
        <v>929.28612385321117</v>
      </c>
      <c r="AG126" s="185">
        <f>SUM(AC126:AF126)</f>
        <v>3419.8251146788989</v>
      </c>
      <c r="AI126" s="187">
        <f t="shared" ref="AI126:AL140" si="136">AC126*$AK$4</f>
        <v>13571.330275229357</v>
      </c>
      <c r="AJ126" s="188">
        <f t="shared" si="136"/>
        <v>0</v>
      </c>
      <c r="AK126" s="188">
        <f t="shared" si="136"/>
        <v>7481.1958142201829</v>
      </c>
      <c r="AL126" s="188">
        <f t="shared" si="136"/>
        <v>7855.2556049311934</v>
      </c>
      <c r="AM126" s="189">
        <f>SUM(AI126:AL126)</f>
        <v>28907.781694380734</v>
      </c>
      <c r="AN126" s="48"/>
    </row>
    <row r="127" spans="1:40" s="4" customFormat="1" ht="14.25" customHeight="1">
      <c r="B127" s="147" t="s">
        <v>141</v>
      </c>
      <c r="C127" s="137" t="s">
        <v>163</v>
      </c>
      <c r="D127" s="138">
        <v>3500</v>
      </c>
      <c r="E127" s="137">
        <v>1000</v>
      </c>
      <c r="F127" s="139">
        <f t="shared" ref="F127:F138" si="137">E127*D127</f>
        <v>3500000</v>
      </c>
      <c r="G127" s="137">
        <v>1</v>
      </c>
      <c r="H127" s="144">
        <f t="shared" ref="H127:H138" si="138">G127*D127*($H$5)^1</f>
        <v>3675</v>
      </c>
      <c r="I127" s="137">
        <v>501</v>
      </c>
      <c r="J127" s="144">
        <f t="shared" ref="J127:J138" si="139">D127*I127*($J$5)^2</f>
        <v>1933233.75</v>
      </c>
      <c r="K127" s="137">
        <v>501</v>
      </c>
      <c r="L127" s="144">
        <f t="shared" ref="L127:L138" si="140">D127*K127*($L$5)^3</f>
        <v>2029895.4375000002</v>
      </c>
      <c r="M127" s="145">
        <f t="shared" ref="M127:M138" si="141">+E127+G127+I127+K127</f>
        <v>2003</v>
      </c>
      <c r="N127" s="146">
        <f t="shared" ref="N127:N138" si="142">L127+J127+H127+F127</f>
        <v>7466804.1875</v>
      </c>
      <c r="O127" s="141" t="b">
        <f t="shared" si="62"/>
        <v>1</v>
      </c>
      <c r="P127" s="131"/>
      <c r="S127" s="182">
        <f>F127</f>
        <v>3500000</v>
      </c>
      <c r="T127" s="183" t="s">
        <v>76</v>
      </c>
      <c r="U127" s="184">
        <f>H127</f>
        <v>3675</v>
      </c>
      <c r="V127" s="183" t="s">
        <v>77</v>
      </c>
      <c r="W127" s="184">
        <f>J127</f>
        <v>1933233.75</v>
      </c>
      <c r="X127" s="183" t="s">
        <v>78</v>
      </c>
      <c r="Y127" s="184">
        <f>L127</f>
        <v>2029895.4375000002</v>
      </c>
      <c r="Z127" s="183" t="s">
        <v>79</v>
      </c>
      <c r="AA127" s="185">
        <f>SUM(S127:Y127)</f>
        <v>7466804.1875</v>
      </c>
      <c r="AB127" s="42">
        <f t="shared" si="116"/>
        <v>0</v>
      </c>
      <c r="AC127" s="186">
        <f>S127/$AE$4</f>
        <v>1605.5045871559632</v>
      </c>
      <c r="AD127" s="184">
        <f>U127/$AE$4</f>
        <v>1.6857798165137614</v>
      </c>
      <c r="AE127" s="184">
        <f>W127/$AE$4</f>
        <v>886.80447247706422</v>
      </c>
      <c r="AF127" s="184">
        <f>Y127/$AE$4</f>
        <v>931.14469610091749</v>
      </c>
      <c r="AG127" s="185">
        <f>SUM(AC127:AF127)</f>
        <v>3425.1395355504587</v>
      </c>
      <c r="AI127" s="187">
        <f t="shared" si="136"/>
        <v>13571.330275229357</v>
      </c>
      <c r="AJ127" s="188">
        <f t="shared" si="136"/>
        <v>14.249896788990824</v>
      </c>
      <c r="AK127" s="188">
        <f t="shared" si="136"/>
        <v>7496.1582058486238</v>
      </c>
      <c r="AL127" s="188">
        <f t="shared" si="136"/>
        <v>7870.966116141055</v>
      </c>
      <c r="AM127" s="189">
        <f>SUM(AI127:AL127)</f>
        <v>28952.704494008027</v>
      </c>
    </row>
    <row r="128" spans="1:40" s="4" customFormat="1" ht="18.5">
      <c r="B128" s="147" t="s">
        <v>142</v>
      </c>
      <c r="C128" s="137" t="s">
        <v>163</v>
      </c>
      <c r="D128" s="138">
        <v>3500</v>
      </c>
      <c r="E128" s="137">
        <v>1000</v>
      </c>
      <c r="F128" s="139">
        <f t="shared" si="137"/>
        <v>3500000</v>
      </c>
      <c r="G128" s="137">
        <v>2</v>
      </c>
      <c r="H128" s="144">
        <f t="shared" si="138"/>
        <v>7350</v>
      </c>
      <c r="I128" s="137">
        <v>502</v>
      </c>
      <c r="J128" s="144">
        <f t="shared" si="139"/>
        <v>1937092.5</v>
      </c>
      <c r="K128" s="137">
        <v>502</v>
      </c>
      <c r="L128" s="144">
        <f t="shared" si="140"/>
        <v>2033947.1250000002</v>
      </c>
      <c r="M128" s="145">
        <f t="shared" si="141"/>
        <v>2006</v>
      </c>
      <c r="N128" s="146">
        <f t="shared" si="142"/>
        <v>7478389.625</v>
      </c>
      <c r="O128" s="141" t="b">
        <f t="shared" si="62"/>
        <v>1</v>
      </c>
      <c r="P128" s="131"/>
      <c r="S128" s="182">
        <f>F128</f>
        <v>3500000</v>
      </c>
      <c r="T128" s="183" t="s">
        <v>76</v>
      </c>
      <c r="U128" s="184">
        <f>H128</f>
        <v>7350</v>
      </c>
      <c r="V128" s="183" t="s">
        <v>77</v>
      </c>
      <c r="W128" s="184">
        <f>J128</f>
        <v>1937092.5</v>
      </c>
      <c r="X128" s="183" t="s">
        <v>78</v>
      </c>
      <c r="Y128" s="184">
        <f>L128</f>
        <v>2033947.1250000002</v>
      </c>
      <c r="Z128" s="183" t="s">
        <v>79</v>
      </c>
      <c r="AA128" s="185">
        <f>SUM(S128:Y128)</f>
        <v>7478389.625</v>
      </c>
      <c r="AB128" s="42">
        <f t="shared" si="116"/>
        <v>0</v>
      </c>
      <c r="AC128" s="186">
        <f>S128/$AE$4</f>
        <v>1605.5045871559632</v>
      </c>
      <c r="AD128" s="184">
        <f>U128/$AE$4</f>
        <v>3.3715596330275228</v>
      </c>
      <c r="AE128" s="184">
        <f>W128/$AE$4</f>
        <v>888.57454128440372</v>
      </c>
      <c r="AF128" s="184">
        <f>Y128/$AE$4</f>
        <v>933.00326834862392</v>
      </c>
      <c r="AG128" s="185">
        <f>SUM(AC128:AF128)</f>
        <v>3430.4539564220181</v>
      </c>
      <c r="AI128" s="187">
        <f t="shared" si="136"/>
        <v>13571.330275229357</v>
      </c>
      <c r="AJ128" s="188">
        <f t="shared" si="136"/>
        <v>28.499793577981649</v>
      </c>
      <c r="AK128" s="188">
        <f t="shared" si="136"/>
        <v>7511.1205974770637</v>
      </c>
      <c r="AL128" s="188">
        <f t="shared" si="136"/>
        <v>7886.6766273509174</v>
      </c>
      <c r="AM128" s="189">
        <f>SUM(AI128:AL128)</f>
        <v>28997.627293635316</v>
      </c>
    </row>
    <row r="129" spans="1:40" s="4" customFormat="1" ht="18.5">
      <c r="B129" s="147" t="s">
        <v>143</v>
      </c>
      <c r="C129" s="137" t="s">
        <v>163</v>
      </c>
      <c r="D129" s="138">
        <v>3500</v>
      </c>
      <c r="E129" s="137">
        <v>1000</v>
      </c>
      <c r="F129" s="139">
        <f t="shared" si="137"/>
        <v>3500000</v>
      </c>
      <c r="G129" s="137">
        <v>3</v>
      </c>
      <c r="H129" s="144">
        <f t="shared" si="138"/>
        <v>11025</v>
      </c>
      <c r="I129" s="137">
        <v>503</v>
      </c>
      <c r="J129" s="144">
        <f t="shared" si="139"/>
        <v>1940951.25</v>
      </c>
      <c r="K129" s="137">
        <v>503</v>
      </c>
      <c r="L129" s="144">
        <f t="shared" si="140"/>
        <v>2037998.8125000002</v>
      </c>
      <c r="M129" s="145">
        <f t="shared" si="141"/>
        <v>2009</v>
      </c>
      <c r="N129" s="146">
        <f t="shared" si="142"/>
        <v>7489975.0625</v>
      </c>
      <c r="O129" s="141" t="b">
        <f t="shared" si="62"/>
        <v>1</v>
      </c>
      <c r="P129" s="131"/>
      <c r="S129" s="182">
        <f>F129</f>
        <v>3500000</v>
      </c>
      <c r="T129" s="183" t="s">
        <v>76</v>
      </c>
      <c r="U129" s="184">
        <f>H129</f>
        <v>11025</v>
      </c>
      <c r="V129" s="183" t="s">
        <v>77</v>
      </c>
      <c r="W129" s="184">
        <f>J129</f>
        <v>1940951.25</v>
      </c>
      <c r="X129" s="183" t="s">
        <v>78</v>
      </c>
      <c r="Y129" s="184">
        <f>L129</f>
        <v>2037998.8125000002</v>
      </c>
      <c r="Z129" s="183" t="s">
        <v>79</v>
      </c>
      <c r="AA129" s="185">
        <f>SUM(S129:Y129)</f>
        <v>7489975.0625</v>
      </c>
      <c r="AB129" s="42">
        <f t="shared" si="116"/>
        <v>0</v>
      </c>
      <c r="AC129" s="186">
        <f>S129/$AE$4</f>
        <v>1605.5045871559632</v>
      </c>
      <c r="AD129" s="184">
        <f>U129/$AE$4</f>
        <v>5.057339449541284</v>
      </c>
      <c r="AE129" s="184">
        <f>W129/$AE$4</f>
        <v>890.34461009174311</v>
      </c>
      <c r="AF129" s="184">
        <f>Y129/$AE$4</f>
        <v>934.86184059633035</v>
      </c>
      <c r="AG129" s="185">
        <f>SUM(AC129:AF129)</f>
        <v>3435.7683772935779</v>
      </c>
      <c r="AI129" s="187">
        <f t="shared" si="136"/>
        <v>13571.330275229357</v>
      </c>
      <c r="AJ129" s="188">
        <f t="shared" si="136"/>
        <v>42.749690366972473</v>
      </c>
      <c r="AK129" s="188">
        <f t="shared" si="136"/>
        <v>7526.0829891055037</v>
      </c>
      <c r="AL129" s="188">
        <f t="shared" si="136"/>
        <v>7902.3871385607799</v>
      </c>
      <c r="AM129" s="189">
        <f>SUM(AI129:AL129)</f>
        <v>29042.550093262609</v>
      </c>
    </row>
    <row r="130" spans="1:40" s="4" customFormat="1" ht="47.25" customHeight="1">
      <c r="A130" s="198"/>
      <c r="B130" s="147" t="s">
        <v>144</v>
      </c>
      <c r="C130" s="137" t="s">
        <v>163</v>
      </c>
      <c r="D130" s="138">
        <v>3500</v>
      </c>
      <c r="E130" s="137">
        <v>1000</v>
      </c>
      <c r="F130" s="139">
        <f t="shared" si="137"/>
        <v>3500000</v>
      </c>
      <c r="G130" s="137">
        <v>4</v>
      </c>
      <c r="H130" s="144">
        <f t="shared" si="138"/>
        <v>14700</v>
      </c>
      <c r="I130" s="137">
        <v>504</v>
      </c>
      <c r="J130" s="144">
        <f t="shared" si="139"/>
        <v>1944810</v>
      </c>
      <c r="K130" s="137">
        <v>504</v>
      </c>
      <c r="L130" s="144">
        <f t="shared" si="140"/>
        <v>2042050.5000000002</v>
      </c>
      <c r="M130" s="145">
        <f t="shared" si="141"/>
        <v>2012</v>
      </c>
      <c r="N130" s="146">
        <f t="shared" si="142"/>
        <v>7501560.5</v>
      </c>
      <c r="O130" s="141" t="b">
        <f t="shared" si="62"/>
        <v>1</v>
      </c>
      <c r="P130" s="131"/>
      <c r="S130" s="182">
        <f>F130</f>
        <v>3500000</v>
      </c>
      <c r="T130" s="183" t="s">
        <v>76</v>
      </c>
      <c r="U130" s="184">
        <f>H130</f>
        <v>14700</v>
      </c>
      <c r="V130" s="183" t="s">
        <v>77</v>
      </c>
      <c r="W130" s="184">
        <f>J130</f>
        <v>1944810</v>
      </c>
      <c r="X130" s="183" t="s">
        <v>78</v>
      </c>
      <c r="Y130" s="184">
        <f>L130</f>
        <v>2042050.5000000002</v>
      </c>
      <c r="Z130" s="183" t="s">
        <v>79</v>
      </c>
      <c r="AA130" s="185">
        <f>SUM(S130:Y130)</f>
        <v>7501560.5</v>
      </c>
      <c r="AB130" s="42">
        <f t="shared" si="116"/>
        <v>0</v>
      </c>
      <c r="AC130" s="186">
        <f>S130/$AE$4</f>
        <v>1605.5045871559632</v>
      </c>
      <c r="AD130" s="184">
        <f>U130/$AE$4</f>
        <v>6.7431192660550456</v>
      </c>
      <c r="AE130" s="184">
        <f>W130/$AE$4</f>
        <v>892.11467889908261</v>
      </c>
      <c r="AF130" s="184">
        <f>Y130/$AE$4</f>
        <v>936.72041284403679</v>
      </c>
      <c r="AG130" s="185">
        <f>SUM(AC130:AF130)</f>
        <v>3441.0827981651378</v>
      </c>
      <c r="AI130" s="187">
        <f t="shared" si="136"/>
        <v>13571.330275229357</v>
      </c>
      <c r="AJ130" s="188">
        <f t="shared" si="136"/>
        <v>56.999587155963297</v>
      </c>
      <c r="AK130" s="188">
        <f t="shared" si="136"/>
        <v>7541.0453807339445</v>
      </c>
      <c r="AL130" s="188">
        <f t="shared" si="136"/>
        <v>7918.0976497706424</v>
      </c>
      <c r="AM130" s="189">
        <f>SUM(AI130:AL130)</f>
        <v>29087.472892889909</v>
      </c>
      <c r="AN130" s="48"/>
    </row>
    <row r="131" spans="1:40" s="4" customFormat="1" ht="47.25" customHeight="1">
      <c r="A131" s="198"/>
      <c r="B131" s="147" t="s">
        <v>145</v>
      </c>
      <c r="C131" s="137" t="s">
        <v>163</v>
      </c>
      <c r="D131" s="138">
        <v>3500</v>
      </c>
      <c r="E131" s="137">
        <v>1000</v>
      </c>
      <c r="F131" s="139">
        <f t="shared" si="137"/>
        <v>3500000</v>
      </c>
      <c r="G131" s="137">
        <v>5</v>
      </c>
      <c r="H131" s="144">
        <f t="shared" si="138"/>
        <v>18375</v>
      </c>
      <c r="I131" s="137">
        <v>505</v>
      </c>
      <c r="J131" s="144">
        <f t="shared" si="139"/>
        <v>1948668.75</v>
      </c>
      <c r="K131" s="137">
        <v>505</v>
      </c>
      <c r="L131" s="144">
        <f t="shared" si="140"/>
        <v>2046102.1875000002</v>
      </c>
      <c r="M131" s="145">
        <f t="shared" si="141"/>
        <v>2015</v>
      </c>
      <c r="N131" s="146">
        <f t="shared" si="142"/>
        <v>7513145.9375</v>
      </c>
      <c r="O131" s="141" t="b">
        <f t="shared" si="62"/>
        <v>1</v>
      </c>
      <c r="P131" s="131"/>
      <c r="S131" s="182"/>
      <c r="T131" s="183"/>
      <c r="U131" s="184"/>
      <c r="V131" s="183"/>
      <c r="W131" s="184"/>
      <c r="X131" s="183"/>
      <c r="Y131" s="184"/>
      <c r="Z131" s="183"/>
      <c r="AA131" s="185"/>
      <c r="AB131" s="42"/>
      <c r="AC131" s="186"/>
      <c r="AD131" s="184"/>
      <c r="AE131" s="184"/>
      <c r="AF131" s="184"/>
      <c r="AG131" s="185"/>
      <c r="AI131" s="187"/>
      <c r="AJ131" s="188"/>
      <c r="AK131" s="188"/>
      <c r="AL131" s="188"/>
      <c r="AM131" s="189"/>
      <c r="AN131" s="48"/>
    </row>
    <row r="132" spans="1:40" s="4" customFormat="1" ht="47.25" customHeight="1">
      <c r="A132" s="198"/>
      <c r="B132" s="147" t="s">
        <v>146</v>
      </c>
      <c r="C132" s="137" t="s">
        <v>163</v>
      </c>
      <c r="D132" s="138">
        <v>3500</v>
      </c>
      <c r="E132" s="137">
        <v>1000</v>
      </c>
      <c r="F132" s="139">
        <f t="shared" si="137"/>
        <v>3500000</v>
      </c>
      <c r="G132" s="137">
        <v>6</v>
      </c>
      <c r="H132" s="144">
        <f t="shared" si="138"/>
        <v>22050</v>
      </c>
      <c r="I132" s="137">
        <v>506</v>
      </c>
      <c r="J132" s="144">
        <f t="shared" si="139"/>
        <v>1952527.5</v>
      </c>
      <c r="K132" s="137">
        <v>506</v>
      </c>
      <c r="L132" s="144">
        <f t="shared" si="140"/>
        <v>2050153.8750000002</v>
      </c>
      <c r="M132" s="145">
        <f t="shared" si="141"/>
        <v>2018</v>
      </c>
      <c r="N132" s="146">
        <f t="shared" si="142"/>
        <v>7524731.375</v>
      </c>
      <c r="O132" s="141" t="b">
        <f t="shared" si="62"/>
        <v>1</v>
      </c>
      <c r="P132" s="131"/>
      <c r="S132" s="182"/>
      <c r="T132" s="183"/>
      <c r="U132" s="184"/>
      <c r="V132" s="183"/>
      <c r="W132" s="184"/>
      <c r="X132" s="183"/>
      <c r="Y132" s="184"/>
      <c r="Z132" s="183"/>
      <c r="AA132" s="185"/>
      <c r="AB132" s="42"/>
      <c r="AC132" s="186"/>
      <c r="AD132" s="184"/>
      <c r="AE132" s="184"/>
      <c r="AF132" s="184"/>
      <c r="AG132" s="185"/>
      <c r="AI132" s="187"/>
      <c r="AJ132" s="188"/>
      <c r="AK132" s="188"/>
      <c r="AL132" s="188"/>
      <c r="AM132" s="189"/>
      <c r="AN132" s="48"/>
    </row>
    <row r="133" spans="1:40" s="4" customFormat="1" ht="47.25" customHeight="1">
      <c r="A133" s="198"/>
      <c r="B133" s="147" t="s">
        <v>147</v>
      </c>
      <c r="C133" s="137" t="s">
        <v>163</v>
      </c>
      <c r="D133" s="138">
        <v>3500</v>
      </c>
      <c r="E133" s="137">
        <v>1000</v>
      </c>
      <c r="F133" s="139">
        <f t="shared" si="137"/>
        <v>3500000</v>
      </c>
      <c r="G133" s="137">
        <v>7</v>
      </c>
      <c r="H133" s="144">
        <f t="shared" si="138"/>
        <v>25725</v>
      </c>
      <c r="I133" s="137">
        <v>507</v>
      </c>
      <c r="J133" s="144">
        <f t="shared" si="139"/>
        <v>1956386.25</v>
      </c>
      <c r="K133" s="137">
        <v>507</v>
      </c>
      <c r="L133" s="144">
        <f t="shared" si="140"/>
        <v>2054205.5625000002</v>
      </c>
      <c r="M133" s="145">
        <f t="shared" si="141"/>
        <v>2021</v>
      </c>
      <c r="N133" s="146">
        <f t="shared" si="142"/>
        <v>7536316.8125</v>
      </c>
      <c r="O133" s="141" t="b">
        <f t="shared" si="62"/>
        <v>1</v>
      </c>
      <c r="P133" s="131"/>
      <c r="S133" s="182"/>
      <c r="T133" s="183"/>
      <c r="U133" s="184"/>
      <c r="V133" s="183"/>
      <c r="W133" s="184"/>
      <c r="X133" s="183"/>
      <c r="Y133" s="184"/>
      <c r="Z133" s="183"/>
      <c r="AA133" s="185"/>
      <c r="AB133" s="42"/>
      <c r="AC133" s="186"/>
      <c r="AD133" s="184"/>
      <c r="AE133" s="184"/>
      <c r="AF133" s="184"/>
      <c r="AG133" s="185"/>
      <c r="AI133" s="187"/>
      <c r="AJ133" s="188"/>
      <c r="AK133" s="188"/>
      <c r="AL133" s="188"/>
      <c r="AM133" s="189"/>
      <c r="AN133" s="48"/>
    </row>
    <row r="134" spans="1:40" s="4" customFormat="1" ht="58.5" customHeight="1">
      <c r="B134" s="50" t="s">
        <v>164</v>
      </c>
      <c r="C134" s="388"/>
      <c r="D134" s="388"/>
      <c r="E134" s="388"/>
      <c r="F134" s="383">
        <f>SUM(F135:F138)</f>
        <v>14000000</v>
      </c>
      <c r="G134" s="388"/>
      <c r="H134" s="383">
        <f>SUM(H135:H138)</f>
        <v>135975</v>
      </c>
      <c r="I134" s="388"/>
      <c r="J134" s="383">
        <f>SUM(J135:J138)</f>
        <v>7860273.75</v>
      </c>
      <c r="K134" s="388"/>
      <c r="L134" s="383">
        <f>SUM(L135:L138)</f>
        <v>8253287.4375000009</v>
      </c>
      <c r="M134" s="388"/>
      <c r="N134" s="383">
        <f>SUM(N135:N138)</f>
        <v>30249536.1875</v>
      </c>
      <c r="O134" s="141" t="b">
        <f t="shared" si="62"/>
        <v>0</v>
      </c>
      <c r="P134" s="389"/>
      <c r="S134" s="383" t="e">
        <f ca="1">SUM(S135:S149)</f>
        <v>#REF!</v>
      </c>
      <c r="T134" s="183" t="s">
        <v>76</v>
      </c>
      <c r="U134" s="383" t="e">
        <f ca="1">SUM(U135:U149)</f>
        <v>#REF!</v>
      </c>
      <c r="V134" s="183" t="s">
        <v>77</v>
      </c>
      <c r="W134" s="383" t="e">
        <f ca="1">SUM(W135:W149)</f>
        <v>#REF!</v>
      </c>
      <c r="X134" s="183" t="s">
        <v>78</v>
      </c>
      <c r="Y134" s="383" t="e">
        <f ca="1">SUM(Y135:Y149)</f>
        <v>#REF!</v>
      </c>
      <c r="Z134" s="183" t="s">
        <v>79</v>
      </c>
      <c r="AA134" s="383" t="e">
        <f ca="1">SUM(AA135:AA149)</f>
        <v>#REF!</v>
      </c>
      <c r="AB134" s="42" t="e">
        <f t="shared" ref="AB134" ca="1" si="143">N134-AA134</f>
        <v>#REF!</v>
      </c>
      <c r="AC134" s="383" t="e">
        <f ca="1">SUM(AC135:AC149)</f>
        <v>#REF!</v>
      </c>
      <c r="AD134" s="383" t="e">
        <f ca="1">SUM(AD135:AD149)</f>
        <v>#REF!</v>
      </c>
      <c r="AE134" s="383" t="e">
        <f ca="1">SUM(AE135:AE149)</f>
        <v>#REF!</v>
      </c>
      <c r="AF134" s="383" t="e">
        <f ca="1">SUM(AF135:AF149)</f>
        <v>#REF!</v>
      </c>
      <c r="AG134" s="383" t="e">
        <f ca="1">SUM(AG135:AG149)</f>
        <v>#REF!</v>
      </c>
      <c r="AI134" s="383" t="e">
        <f ca="1">SUM(AI135:AI149)</f>
        <v>#REF!</v>
      </c>
      <c r="AJ134" s="383" t="e">
        <f ca="1">SUM(AJ135:AJ149)</f>
        <v>#REF!</v>
      </c>
      <c r="AK134" s="383" t="e">
        <f ca="1">SUM(AK135:AK149)</f>
        <v>#REF!</v>
      </c>
      <c r="AL134" s="383" t="e">
        <f ca="1">SUM(AL135:AL149)</f>
        <v>#REF!</v>
      </c>
      <c r="AM134" s="383" t="e">
        <f ca="1">SUM(AM135:AM149)</f>
        <v>#REF!</v>
      </c>
    </row>
    <row r="135" spans="1:40" s="4" customFormat="1" ht="47.25" customHeight="1">
      <c r="A135" s="198"/>
      <c r="B135" s="147" t="s">
        <v>149</v>
      </c>
      <c r="C135" s="137" t="s">
        <v>163</v>
      </c>
      <c r="D135" s="138">
        <v>3500</v>
      </c>
      <c r="E135" s="137">
        <v>1000</v>
      </c>
      <c r="F135" s="139">
        <f t="shared" si="137"/>
        <v>3500000</v>
      </c>
      <c r="G135" s="137">
        <v>9</v>
      </c>
      <c r="H135" s="144">
        <f t="shared" si="138"/>
        <v>33075</v>
      </c>
      <c r="I135" s="137">
        <v>509</v>
      </c>
      <c r="J135" s="144">
        <f t="shared" si="139"/>
        <v>1964103.75</v>
      </c>
      <c r="K135" s="137">
        <v>509</v>
      </c>
      <c r="L135" s="144">
        <f t="shared" si="140"/>
        <v>2062308.9375000002</v>
      </c>
      <c r="M135" s="145">
        <f t="shared" si="141"/>
        <v>2027</v>
      </c>
      <c r="N135" s="146">
        <f t="shared" si="142"/>
        <v>7559487.6875</v>
      </c>
      <c r="O135" s="141" t="b">
        <f t="shared" si="62"/>
        <v>1</v>
      </c>
      <c r="P135" s="131"/>
      <c r="S135" s="182"/>
      <c r="T135" s="183"/>
      <c r="U135" s="184"/>
      <c r="V135" s="183"/>
      <c r="W135" s="184"/>
      <c r="X135" s="183"/>
      <c r="Y135" s="184"/>
      <c r="Z135" s="183"/>
      <c r="AA135" s="185"/>
      <c r="AB135" s="42"/>
      <c r="AC135" s="186"/>
      <c r="AD135" s="184"/>
      <c r="AE135" s="184"/>
      <c r="AF135" s="184"/>
      <c r="AG135" s="185"/>
      <c r="AI135" s="187"/>
      <c r="AJ135" s="188"/>
      <c r="AK135" s="188"/>
      <c r="AL135" s="188"/>
      <c r="AM135" s="189"/>
      <c r="AN135" s="48"/>
    </row>
    <row r="136" spans="1:40" s="4" customFormat="1" ht="47.25" customHeight="1">
      <c r="A136" s="198"/>
      <c r="B136" s="147" t="s">
        <v>150</v>
      </c>
      <c r="C136" s="137" t="s">
        <v>163</v>
      </c>
      <c r="D136" s="138">
        <v>3500</v>
      </c>
      <c r="E136" s="137">
        <v>1000</v>
      </c>
      <c r="F136" s="139">
        <f t="shared" si="137"/>
        <v>3500000</v>
      </c>
      <c r="G136" s="137">
        <v>10</v>
      </c>
      <c r="H136" s="144">
        <f t="shared" si="138"/>
        <v>36750</v>
      </c>
      <c r="I136" s="137">
        <v>510</v>
      </c>
      <c r="J136" s="144">
        <f t="shared" si="139"/>
        <v>1967962.5</v>
      </c>
      <c r="K136" s="137">
        <v>510</v>
      </c>
      <c r="L136" s="144">
        <f t="shared" si="140"/>
        <v>2066360.6250000002</v>
      </c>
      <c r="M136" s="145">
        <f t="shared" si="141"/>
        <v>2030</v>
      </c>
      <c r="N136" s="146">
        <f t="shared" si="142"/>
        <v>7571073.125</v>
      </c>
      <c r="O136" s="141" t="b">
        <f t="shared" si="62"/>
        <v>1</v>
      </c>
      <c r="P136" s="131"/>
      <c r="S136" s="182"/>
      <c r="T136" s="183"/>
      <c r="U136" s="184"/>
      <c r="V136" s="183"/>
      <c r="W136" s="184"/>
      <c r="X136" s="183"/>
      <c r="Y136" s="184"/>
      <c r="Z136" s="183"/>
      <c r="AA136" s="185"/>
      <c r="AB136" s="42"/>
      <c r="AC136" s="186"/>
      <c r="AD136" s="184"/>
      <c r="AE136" s="184"/>
      <c r="AF136" s="184"/>
      <c r="AG136" s="185"/>
      <c r="AI136" s="187"/>
      <c r="AJ136" s="188"/>
      <c r="AK136" s="188"/>
      <c r="AL136" s="188"/>
      <c r="AM136" s="189"/>
      <c r="AN136" s="48"/>
    </row>
    <row r="137" spans="1:40" s="4" customFormat="1" ht="47.25" customHeight="1">
      <c r="A137" s="198"/>
      <c r="B137" s="147" t="s">
        <v>151</v>
      </c>
      <c r="C137" s="137" t="s">
        <v>163</v>
      </c>
      <c r="D137" s="138">
        <v>3500</v>
      </c>
      <c r="E137" s="137">
        <v>1000</v>
      </c>
      <c r="F137" s="139">
        <f t="shared" si="137"/>
        <v>3500000</v>
      </c>
      <c r="G137" s="137">
        <v>11</v>
      </c>
      <c r="H137" s="144">
        <f t="shared" si="138"/>
        <v>40425</v>
      </c>
      <c r="I137" s="137">
        <v>511</v>
      </c>
      <c r="J137" s="144">
        <f t="shared" si="139"/>
        <v>1971821.25</v>
      </c>
      <c r="K137" s="137">
        <v>511</v>
      </c>
      <c r="L137" s="144">
        <f t="shared" si="140"/>
        <v>2070412.3125000002</v>
      </c>
      <c r="M137" s="145">
        <f t="shared" si="141"/>
        <v>2033</v>
      </c>
      <c r="N137" s="146">
        <f t="shared" si="142"/>
        <v>7582658.5625</v>
      </c>
      <c r="O137" s="141" t="b">
        <f t="shared" si="62"/>
        <v>1</v>
      </c>
      <c r="P137" s="131"/>
      <c r="S137" s="182"/>
      <c r="T137" s="183"/>
      <c r="U137" s="184"/>
      <c r="V137" s="183"/>
      <c r="W137" s="184"/>
      <c r="X137" s="183"/>
      <c r="Y137" s="184"/>
      <c r="Z137" s="183"/>
      <c r="AA137" s="185"/>
      <c r="AB137" s="42"/>
      <c r="AC137" s="186"/>
      <c r="AD137" s="184"/>
      <c r="AE137" s="184"/>
      <c r="AF137" s="184"/>
      <c r="AG137" s="185"/>
      <c r="AI137" s="187"/>
      <c r="AJ137" s="188"/>
      <c r="AK137" s="188"/>
      <c r="AL137" s="188"/>
      <c r="AM137" s="189"/>
      <c r="AN137" s="48"/>
    </row>
    <row r="138" spans="1:40" s="4" customFormat="1" ht="47.25" customHeight="1">
      <c r="A138" s="198"/>
      <c r="B138" s="147" t="s">
        <v>147</v>
      </c>
      <c r="C138" s="137" t="s">
        <v>163</v>
      </c>
      <c r="D138" s="138">
        <v>3500</v>
      </c>
      <c r="E138" s="137">
        <v>1000</v>
      </c>
      <c r="F138" s="139">
        <f t="shared" si="137"/>
        <v>3500000</v>
      </c>
      <c r="G138" s="137">
        <v>7</v>
      </c>
      <c r="H138" s="144">
        <f t="shared" si="138"/>
        <v>25725</v>
      </c>
      <c r="I138" s="137">
        <v>507</v>
      </c>
      <c r="J138" s="144">
        <f t="shared" si="139"/>
        <v>1956386.25</v>
      </c>
      <c r="K138" s="137">
        <v>507</v>
      </c>
      <c r="L138" s="144">
        <f t="shared" si="140"/>
        <v>2054205.5625000002</v>
      </c>
      <c r="M138" s="145">
        <f t="shared" si="141"/>
        <v>2021</v>
      </c>
      <c r="N138" s="146">
        <f t="shared" si="142"/>
        <v>7536316.8125</v>
      </c>
      <c r="O138" s="141" t="b">
        <f t="shared" si="62"/>
        <v>1</v>
      </c>
      <c r="P138" s="131"/>
      <c r="S138" s="182"/>
      <c r="T138" s="183"/>
      <c r="U138" s="184"/>
      <c r="V138" s="183"/>
      <c r="W138" s="184"/>
      <c r="X138" s="183"/>
      <c r="Y138" s="184"/>
      <c r="Z138" s="183"/>
      <c r="AA138" s="185"/>
      <c r="AB138" s="42"/>
      <c r="AC138" s="186"/>
      <c r="AD138" s="184"/>
      <c r="AE138" s="184"/>
      <c r="AF138" s="184"/>
      <c r="AG138" s="185"/>
      <c r="AI138" s="187"/>
      <c r="AJ138" s="188"/>
      <c r="AK138" s="188"/>
      <c r="AL138" s="188"/>
      <c r="AM138" s="189"/>
      <c r="AN138" s="48"/>
    </row>
    <row r="139" spans="1:40" s="46" customFormat="1" ht="14.25" customHeight="1">
      <c r="A139" s="198"/>
      <c r="B139" s="268" t="s">
        <v>165</v>
      </c>
      <c r="C139" s="260"/>
      <c r="D139" s="261"/>
      <c r="E139" s="260"/>
      <c r="F139" s="261">
        <v>2500000</v>
      </c>
      <c r="G139" s="269"/>
      <c r="H139" s="261">
        <v>67642113.868721142</v>
      </c>
      <c r="I139" s="269"/>
      <c r="J139" s="261">
        <v>67642113.868721142</v>
      </c>
      <c r="K139" s="269"/>
      <c r="L139" s="270"/>
      <c r="M139" s="271"/>
      <c r="N139" s="270">
        <f>L139+J139+H139+F139</f>
        <v>137784227.73744228</v>
      </c>
      <c r="O139" s="273"/>
      <c r="P139" s="390"/>
      <c r="S139" s="391">
        <f>F139</f>
        <v>2500000</v>
      </c>
      <c r="T139" s="263" t="s">
        <v>76</v>
      </c>
      <c r="U139" s="264">
        <f>H139</f>
        <v>67642113.868721142</v>
      </c>
      <c r="V139" s="263" t="s">
        <v>77</v>
      </c>
      <c r="W139" s="264">
        <f>65713914.6550888</f>
        <v>65713914.655088797</v>
      </c>
      <c r="X139" s="263" t="s">
        <v>78</v>
      </c>
      <c r="Y139" s="264">
        <f>L139</f>
        <v>0</v>
      </c>
      <c r="Z139" s="263" t="s">
        <v>79</v>
      </c>
      <c r="AA139" s="265">
        <f>SUM(S139:Y139)</f>
        <v>135856028.52380994</v>
      </c>
      <c r="AB139" s="42">
        <f t="shared" si="116"/>
        <v>1928199.2136323452</v>
      </c>
      <c r="AC139" s="262">
        <f>S139/$AE$4</f>
        <v>1146.788990825688</v>
      </c>
      <c r="AD139" s="264">
        <f>U139/$AE$4</f>
        <v>31028.492600330799</v>
      </c>
      <c r="AE139" s="264">
        <f>W139/$AE$4</f>
        <v>30143.997548205869</v>
      </c>
      <c r="AF139" s="264">
        <f>Y139/$AE$4</f>
        <v>0</v>
      </c>
      <c r="AG139" s="265">
        <f>SUM(AC139:AF139)</f>
        <v>62319.279139362356</v>
      </c>
      <c r="AI139" s="266">
        <f t="shared" si="136"/>
        <v>9693.8073394495405</v>
      </c>
      <c r="AJ139" s="392">
        <f t="shared" si="136"/>
        <v>262283.84795059625</v>
      </c>
      <c r="AK139" s="392">
        <f>AE139*$AK$4+523</f>
        <v>255330.21127498421</v>
      </c>
      <c r="AL139" s="392">
        <f t="shared" si="136"/>
        <v>0</v>
      </c>
      <c r="AM139" s="267">
        <f>SUM(AI139:AL139)</f>
        <v>527307.86656502995</v>
      </c>
    </row>
    <row r="140" spans="1:40" s="4" customFormat="1" ht="14.25" customHeight="1">
      <c r="B140" s="147"/>
      <c r="C140" s="137"/>
      <c r="D140" s="138"/>
      <c r="E140" s="137"/>
      <c r="F140" s="139"/>
      <c r="G140" s="152"/>
      <c r="H140" s="144"/>
      <c r="I140" s="152"/>
      <c r="J140" s="144"/>
      <c r="K140" s="152"/>
      <c r="L140" s="144"/>
      <c r="M140" s="145"/>
      <c r="N140" s="146"/>
      <c r="O140" s="141"/>
      <c r="P140" s="131"/>
      <c r="S140" s="182">
        <f>F140</f>
        <v>0</v>
      </c>
      <c r="T140" s="183" t="s">
        <v>76</v>
      </c>
      <c r="U140" s="184"/>
      <c r="V140" s="183" t="s">
        <v>77</v>
      </c>
      <c r="W140" s="184"/>
      <c r="X140" s="183" t="s">
        <v>78</v>
      </c>
      <c r="Y140" s="184">
        <f>L140</f>
        <v>0</v>
      </c>
      <c r="Z140" s="183" t="s">
        <v>79</v>
      </c>
      <c r="AA140" s="185">
        <f>SUM(S140:Y140)</f>
        <v>0</v>
      </c>
      <c r="AB140" s="42">
        <f t="shared" si="116"/>
        <v>0</v>
      </c>
      <c r="AC140" s="186">
        <f>S140/$AE$4</f>
        <v>0</v>
      </c>
      <c r="AD140" s="184">
        <f>U140/$AE$4</f>
        <v>0</v>
      </c>
      <c r="AE140" s="184">
        <f>W140/$AE$4</f>
        <v>0</v>
      </c>
      <c r="AF140" s="184">
        <f>Y140/$AE$4</f>
        <v>0</v>
      </c>
      <c r="AG140" s="185">
        <f>SUM(AC140:AF140)</f>
        <v>0</v>
      </c>
      <c r="AI140" s="187">
        <f t="shared" si="136"/>
        <v>0</v>
      </c>
      <c r="AJ140" s="188">
        <f t="shared" si="136"/>
        <v>0</v>
      </c>
      <c r="AK140" s="188">
        <f t="shared" si="136"/>
        <v>0</v>
      </c>
      <c r="AL140" s="188">
        <f t="shared" si="136"/>
        <v>0</v>
      </c>
      <c r="AM140" s="189">
        <f>SUM(AI140:AL140)</f>
        <v>0</v>
      </c>
    </row>
    <row r="141" spans="1:40" s="1" customFormat="1" ht="14.25" customHeight="1">
      <c r="B141" s="393" t="s">
        <v>166</v>
      </c>
      <c r="C141" s="169"/>
      <c r="D141" s="277"/>
      <c r="E141" s="275"/>
      <c r="F141" s="277">
        <f>F125+F116+F106+F91+F134</f>
        <v>91325000</v>
      </c>
      <c r="G141" s="276"/>
      <c r="H141" s="277">
        <f>H125+H116+H106+H91+H134</f>
        <v>72426375</v>
      </c>
      <c r="I141" s="277"/>
      <c r="J141" s="277">
        <f>J125+J116+J106+J91+J134</f>
        <v>40216443.75</v>
      </c>
      <c r="K141" s="277"/>
      <c r="L141" s="277">
        <f>L125+L116+L106+L91+L134</f>
        <v>30651015.937500004</v>
      </c>
      <c r="M141" s="277"/>
      <c r="N141" s="277">
        <f>N125+N116+N106+N91+N134</f>
        <v>234618834.6875</v>
      </c>
      <c r="O141" s="375">
        <f>SUM(O106:O140)</f>
        <v>0</v>
      </c>
      <c r="P141" s="161">
        <f>SUM(P106:P140)</f>
        <v>0</v>
      </c>
      <c r="Q141" s="20"/>
      <c r="R141" s="20"/>
      <c r="S141" s="277" t="e">
        <f ca="1">S125+S116+S106+S91</f>
        <v>#REF!</v>
      </c>
      <c r="T141" s="224"/>
      <c r="U141" s="277" t="e">
        <f ca="1">U125+U116+U106+U91</f>
        <v>#REF!</v>
      </c>
      <c r="V141" s="224"/>
      <c r="W141" s="277" t="e">
        <f ca="1">W125+W116+W106+W91</f>
        <v>#REF!</v>
      </c>
      <c r="X141" s="224"/>
      <c r="Y141" s="277" t="e">
        <f ca="1">Y125+Y116+Y106+Y91</f>
        <v>#REF!</v>
      </c>
      <c r="Z141" s="225"/>
      <c r="AA141" s="277" t="e">
        <f ca="1">AA125+AA116+AA106+AA91</f>
        <v>#REF!</v>
      </c>
      <c r="AB141" s="42" t="e">
        <f t="shared" ca="1" si="116"/>
        <v>#REF!</v>
      </c>
      <c r="AC141" s="277" t="e">
        <f ca="1">AC125+AC116+AC106+AC91</f>
        <v>#REF!</v>
      </c>
      <c r="AD141" s="277" t="e">
        <f ca="1">AD125+AD116+AD106+AD91</f>
        <v>#REF!</v>
      </c>
      <c r="AE141" s="277" t="e">
        <f ca="1">AE125+AE116+AE106+AE91</f>
        <v>#REF!</v>
      </c>
      <c r="AF141" s="277" t="e">
        <f ca="1">AF125+AF116+AF106+AF91</f>
        <v>#REF!</v>
      </c>
      <c r="AG141" s="277" t="e">
        <f ca="1">AG125+AG116+AG106+AG91</f>
        <v>#REF!</v>
      </c>
      <c r="AH141" s="40"/>
      <c r="AI141" s="277" t="e">
        <f ca="1">AI125+AI116+AI106+AI91</f>
        <v>#REF!</v>
      </c>
      <c r="AJ141" s="277" t="e">
        <f ca="1">AJ125+AJ116+AJ106+AJ91</f>
        <v>#REF!</v>
      </c>
      <c r="AK141" s="277" t="e">
        <f ca="1">AK125+AK116+AK106+AK91</f>
        <v>#REF!</v>
      </c>
      <c r="AL141" s="277" t="e">
        <f ca="1">AL125+AL116+AL106+AL91</f>
        <v>#REF!</v>
      </c>
      <c r="AM141" s="277" t="e">
        <f ca="1">AM125+AM116+AM106+AM91</f>
        <v>#REF!</v>
      </c>
    </row>
    <row r="142" spans="1:40" ht="14.25" customHeight="1">
      <c r="B142" s="394" t="s">
        <v>167</v>
      </c>
      <c r="C142" s="395"/>
      <c r="D142" s="170"/>
      <c r="E142" s="395"/>
      <c r="F142" s="170">
        <f>F141+F87+F76+F61+F55+F39</f>
        <v>160235537.49336034</v>
      </c>
      <c r="G142" s="170"/>
      <c r="H142" s="170">
        <f>H141+H87+H76+H61+H55+H39</f>
        <v>142197755</v>
      </c>
      <c r="I142" s="170"/>
      <c r="J142" s="170">
        <f>J141+J87+J76+J61+J55+J39</f>
        <v>70357617.75</v>
      </c>
      <c r="K142" s="170"/>
      <c r="L142" s="170">
        <f>L141+L87+L76+L61+L55+L39</f>
        <v>80821248.637500018</v>
      </c>
      <c r="M142" s="170"/>
      <c r="N142" s="170">
        <f>N141+N87+N76+N61+N55+N39</f>
        <v>453612158.88086033</v>
      </c>
      <c r="O142" s="395">
        <f>O141+O87+O76+O61+O55+O39</f>
        <v>0</v>
      </c>
      <c r="P142" s="171">
        <f>P141+P87+P76+P61+P55+P39</f>
        <v>0</v>
      </c>
      <c r="S142" s="396" t="e">
        <f ca="1">S141+S87+S76+S61+S55+S39</f>
        <v>#REF!</v>
      </c>
      <c r="T142" s="396"/>
      <c r="U142" s="396" t="e">
        <f ca="1">U141+U87+U76+U61+U55+U39</f>
        <v>#REF!</v>
      </c>
      <c r="V142" s="396"/>
      <c r="W142" s="396" t="e">
        <f ca="1">W141+W87+W76+W61+W55+W39</f>
        <v>#REF!</v>
      </c>
      <c r="X142" s="396"/>
      <c r="Y142" s="396" t="e">
        <f ca="1">Y141+Y87+Y76+Y61+Y55+Y39</f>
        <v>#REF!</v>
      </c>
      <c r="Z142" s="397"/>
      <c r="AA142" s="397" t="e">
        <f ca="1">AA141+AA87+AA76+AA61+AA55+AA39</f>
        <v>#REF!</v>
      </c>
      <c r="AB142" s="42" t="e">
        <f t="shared" ca="1" si="116"/>
        <v>#REF!</v>
      </c>
      <c r="AC142" s="398" t="e">
        <f ca="1">AC141+AC87+AC76+AC61+AC55+AC39</f>
        <v>#REF!</v>
      </c>
      <c r="AD142" s="396" t="e">
        <f ca="1">AD141+AD87+AD76+AD61+AD55+AD39</f>
        <v>#REF!</v>
      </c>
      <c r="AE142" s="396" t="e">
        <f ca="1">AE141+AE87+AE76+AE61+AE55+AE39</f>
        <v>#REF!</v>
      </c>
      <c r="AF142" s="396" t="e">
        <f ca="1">AF141+AF87+AF76+AF61+AF55+AF39</f>
        <v>#REF!</v>
      </c>
      <c r="AG142" s="396" t="e">
        <f ca="1">AG141+AG87+AG76+AG61+AG55+AG39</f>
        <v>#REF!</v>
      </c>
      <c r="AH142" s="21"/>
      <c r="AI142" s="399" t="e">
        <f ca="1">AI141+AI87+AI76+AI61+AI55+AI39</f>
        <v>#REF!</v>
      </c>
      <c r="AJ142" s="399" t="e">
        <f ca="1">AJ141+AJ87+AJ76+AJ61+AJ55+AJ39</f>
        <v>#REF!</v>
      </c>
      <c r="AK142" s="399" t="e">
        <f ca="1">AK141+AK87+AK76+AK61+AK55+AK39</f>
        <v>#REF!</v>
      </c>
      <c r="AL142" s="399" t="e">
        <f ca="1">AL141+AL87+AL76+AL61+AL55+AL39</f>
        <v>#REF!</v>
      </c>
      <c r="AM142" s="399" t="e">
        <f ca="1">AM141+AM87+AM76+AM61+AM55+AM39</f>
        <v>#REF!</v>
      </c>
      <c r="AN142" s="47"/>
    </row>
    <row r="143" spans="1:40" s="1" customFormat="1" ht="14.25" customHeight="1">
      <c r="B143" s="154"/>
      <c r="C143" s="400"/>
      <c r="D143" s="172"/>
      <c r="E143" s="400"/>
      <c r="F143" s="172"/>
      <c r="G143" s="172"/>
      <c r="H143" s="172"/>
      <c r="I143" s="172"/>
      <c r="J143" s="172"/>
      <c r="K143" s="172"/>
      <c r="L143" s="172"/>
      <c r="M143" s="172"/>
      <c r="N143" s="172"/>
      <c r="O143" s="400"/>
      <c r="P143" s="401"/>
      <c r="Q143" s="17"/>
      <c r="R143" s="17"/>
      <c r="S143" s="214"/>
      <c r="T143" s="214"/>
      <c r="U143" s="214"/>
      <c r="V143" s="214"/>
      <c r="W143" s="214"/>
      <c r="X143" s="214"/>
      <c r="Y143" s="214"/>
      <c r="Z143" s="215"/>
      <c r="AA143" s="215"/>
      <c r="AB143" s="42"/>
      <c r="AC143" s="216"/>
      <c r="AD143" s="214"/>
      <c r="AE143" s="214"/>
      <c r="AF143" s="214"/>
      <c r="AG143" s="214"/>
      <c r="AH143" s="22"/>
      <c r="AI143" s="217"/>
      <c r="AJ143" s="217"/>
      <c r="AK143" s="217"/>
      <c r="AL143" s="217"/>
      <c r="AM143" s="217"/>
    </row>
    <row r="144" spans="1:40" ht="14.25" customHeight="1">
      <c r="B144" s="173" t="s">
        <v>168</v>
      </c>
      <c r="C144" s="174"/>
      <c r="D144" s="402"/>
      <c r="E144" s="174"/>
      <c r="F144" s="402">
        <f>F143+F142</f>
        <v>160235537.49336034</v>
      </c>
      <c r="G144" s="402"/>
      <c r="H144" s="402">
        <f>H143+H142</f>
        <v>142197755</v>
      </c>
      <c r="I144" s="170"/>
      <c r="J144" s="402">
        <f>J143+J142</f>
        <v>70357617.75</v>
      </c>
      <c r="K144" s="170"/>
      <c r="L144" s="402">
        <f>L143+L142</f>
        <v>80821248.637500018</v>
      </c>
      <c r="M144" s="170"/>
      <c r="N144" s="402">
        <f>N143+N142</f>
        <v>453612158.88086033</v>
      </c>
      <c r="O144" s="395">
        <f>O143+O142</f>
        <v>0</v>
      </c>
      <c r="P144" s="171">
        <f>P143+P142</f>
        <v>0</v>
      </c>
      <c r="S144" s="347" t="e">
        <f ca="1">SUM(S142:S143)</f>
        <v>#REF!</v>
      </c>
      <c r="T144" s="347"/>
      <c r="U144" s="347" t="e">
        <f ca="1">SUM(U142:U143)</f>
        <v>#REF!</v>
      </c>
      <c r="V144" s="347"/>
      <c r="W144" s="347" t="e">
        <f ca="1">SUM(W142:W143)</f>
        <v>#REF!</v>
      </c>
      <c r="X144" s="347"/>
      <c r="Y144" s="347" t="e">
        <f ca="1">SUM(Y142:Y143)</f>
        <v>#REF!</v>
      </c>
      <c r="Z144" s="348"/>
      <c r="AA144" s="348" t="e">
        <f ca="1">SUM(AA142:AA143)</f>
        <v>#REF!</v>
      </c>
      <c r="AB144" s="42" t="e">
        <f ca="1">N144-AA144</f>
        <v>#REF!</v>
      </c>
      <c r="AC144" s="349" t="e">
        <f ca="1">SUM(AC142:AC143)</f>
        <v>#REF!</v>
      </c>
      <c r="AD144" s="347" t="e">
        <f ca="1">SUM(AD142:AD143)</f>
        <v>#REF!</v>
      </c>
      <c r="AE144" s="347" t="e">
        <f ca="1">SUM(AE142:AE143)</f>
        <v>#REF!</v>
      </c>
      <c r="AF144" s="347" t="e">
        <f ca="1">SUM(AF142:AF143)</f>
        <v>#REF!</v>
      </c>
      <c r="AG144" s="347" t="e">
        <f ca="1">SUM(AG142:AG143)</f>
        <v>#REF!</v>
      </c>
      <c r="AH144" s="21"/>
      <c r="AI144" s="350" t="e">
        <f ca="1">SUM(AI142:AI143)</f>
        <v>#REF!</v>
      </c>
      <c r="AJ144" s="350" t="e">
        <f ca="1">SUM(AJ142:AJ143)</f>
        <v>#REF!</v>
      </c>
      <c r="AK144" s="350" t="e">
        <f ca="1">SUM(AK142:AK143)</f>
        <v>#REF!</v>
      </c>
      <c r="AL144" s="350" t="e">
        <f ca="1">SUM(AL142:AL143)</f>
        <v>#REF!</v>
      </c>
      <c r="AM144" s="350" t="e">
        <f ca="1">SUM(AM142:AM143)</f>
        <v>#REF!</v>
      </c>
    </row>
    <row r="145" spans="1:39" ht="14.25" customHeight="1">
      <c r="A145" s="3" t="s">
        <v>90</v>
      </c>
      <c r="B145" s="394" t="s">
        <v>169</v>
      </c>
      <c r="C145" s="137"/>
      <c r="D145" s="138"/>
      <c r="E145" s="137"/>
      <c r="F145" s="148">
        <f>F144/100*7</f>
        <v>11216487.624535223</v>
      </c>
      <c r="G145" s="138"/>
      <c r="H145" s="148">
        <f>H144/100*7</f>
        <v>9953842.8499999996</v>
      </c>
      <c r="I145" s="138"/>
      <c r="J145" s="148">
        <f>J144/100*7</f>
        <v>4925033.2424999997</v>
      </c>
      <c r="K145" s="138"/>
      <c r="L145" s="148">
        <f>L144/100*7</f>
        <v>5657487.4046250014</v>
      </c>
      <c r="M145" s="138"/>
      <c r="N145" s="148">
        <f>N144/100*7</f>
        <v>31752851.121660225</v>
      </c>
      <c r="O145" s="141"/>
      <c r="P145" s="175"/>
      <c r="S145" s="403"/>
      <c r="T145" s="218"/>
      <c r="U145" s="138"/>
      <c r="V145" s="138"/>
      <c r="W145" s="138"/>
      <c r="X145" s="138"/>
      <c r="Y145" s="138"/>
      <c r="Z145" s="219"/>
      <c r="AA145" s="219"/>
      <c r="AB145" s="42"/>
      <c r="AC145" s="404"/>
      <c r="AD145" s="405"/>
      <c r="AE145" s="405"/>
      <c r="AF145" s="405"/>
      <c r="AG145" s="406"/>
      <c r="AH145" s="21"/>
      <c r="AI145" s="407" t="e">
        <f>(#REF!*0.07)</f>
        <v>#REF!</v>
      </c>
      <c r="AJ145" s="407" t="e">
        <f>#REF!*0.07</f>
        <v>#REF!</v>
      </c>
      <c r="AK145" s="407" t="e">
        <f>#REF!*0.07</f>
        <v>#REF!</v>
      </c>
      <c r="AL145" s="407" t="e">
        <f>#REF!*0.07</f>
        <v>#REF!</v>
      </c>
      <c r="AM145" s="407" t="e">
        <f>#REF!*0.07</f>
        <v>#REF!</v>
      </c>
    </row>
    <row r="146" spans="1:39" ht="14.25" customHeight="1">
      <c r="B146" s="176" t="s">
        <v>170</v>
      </c>
      <c r="C146" s="137"/>
      <c r="D146" s="138"/>
      <c r="E146" s="137"/>
      <c r="F146" s="172">
        <f>F145+F144</f>
        <v>171452025.11789557</v>
      </c>
      <c r="G146" s="172"/>
      <c r="H146" s="172">
        <f t="shared" ref="H146:N146" si="144">H145+H144</f>
        <v>152151597.84999999</v>
      </c>
      <c r="I146" s="172"/>
      <c r="J146" s="172">
        <f t="shared" si="144"/>
        <v>75282650.992500007</v>
      </c>
      <c r="K146" s="172"/>
      <c r="L146" s="172">
        <f t="shared" si="144"/>
        <v>86478736.042125016</v>
      </c>
      <c r="M146" s="172"/>
      <c r="N146" s="172">
        <f t="shared" si="144"/>
        <v>485365010.00252056</v>
      </c>
      <c r="O146" s="141"/>
      <c r="P146" s="175"/>
      <c r="S146" s="403"/>
      <c r="T146" s="218"/>
      <c r="U146" s="138"/>
      <c r="V146" s="138"/>
      <c r="W146" s="138"/>
      <c r="X146" s="138"/>
      <c r="Y146" s="138"/>
      <c r="Z146" s="219"/>
      <c r="AA146" s="219"/>
      <c r="AB146" s="42"/>
      <c r="AC146" s="404"/>
      <c r="AD146" s="405"/>
      <c r="AE146" s="405"/>
      <c r="AF146" s="405"/>
      <c r="AG146" s="406"/>
      <c r="AH146" s="21"/>
      <c r="AI146" s="407" t="e">
        <f>#REF!+AI145+#REF!</f>
        <v>#REF!</v>
      </c>
      <c r="AJ146" s="407" t="e">
        <f>#REF!+AJ145+#REF!</f>
        <v>#REF!</v>
      </c>
      <c r="AK146" s="407" t="e">
        <f>#REF!+AK145+#REF!</f>
        <v>#REF!</v>
      </c>
      <c r="AL146" s="407" t="e">
        <f>#REF!+AL145+#REF!</f>
        <v>#REF!</v>
      </c>
      <c r="AM146" s="407" t="e">
        <f>#REF!+AM145+#REF!</f>
        <v>#REF!</v>
      </c>
    </row>
    <row r="147" spans="1:39" ht="14.25" customHeight="1" thickBot="1">
      <c r="B147" s="408" t="s">
        <v>171</v>
      </c>
      <c r="C147" s="177"/>
      <c r="D147" s="178"/>
      <c r="E147" s="177"/>
      <c r="F147" s="179">
        <f>SUMIF($A7:$A145,"Y",F7:F145)</f>
        <v>46889091.78456223</v>
      </c>
      <c r="G147" s="179"/>
      <c r="H147" s="179">
        <f>SUMIF($A7:$A145,"Y",H7:H145)</f>
        <v>9953842.8499999996</v>
      </c>
      <c r="I147" s="179"/>
      <c r="J147" s="179">
        <f>SUMIF($A7:$A145,"Y",J7:J145)</f>
        <v>4925033.2424999997</v>
      </c>
      <c r="K147" s="179"/>
      <c r="L147" s="179">
        <f>SUMIF($A7:$A145,"Y",L7:L145)</f>
        <v>5657487.4046250014</v>
      </c>
      <c r="M147" s="179"/>
      <c r="N147" s="179">
        <f>SUMIF($A7:$A145,"Y",N7:N145)</f>
        <v>67425455.28168723</v>
      </c>
      <c r="O147" s="409">
        <f>N147/N146</f>
        <v>0.13891700862684164</v>
      </c>
      <c r="P147" s="180"/>
      <c r="S147" s="403"/>
      <c r="T147" s="218"/>
      <c r="U147" s="138"/>
      <c r="V147" s="138"/>
      <c r="W147" s="138"/>
      <c r="X147" s="138"/>
      <c r="Y147" s="138"/>
      <c r="Z147" s="219"/>
      <c r="AA147" s="219"/>
      <c r="AB147" s="42"/>
      <c r="AC147" s="404"/>
      <c r="AD147" s="405"/>
      <c r="AE147" s="405"/>
      <c r="AF147" s="405"/>
      <c r="AG147" s="406"/>
      <c r="AH147" s="21"/>
      <c r="AI147" s="407"/>
      <c r="AJ147" s="410"/>
      <c r="AK147" s="410"/>
      <c r="AL147" s="410"/>
      <c r="AM147" s="411"/>
    </row>
    <row r="148" spans="1:39">
      <c r="AG148" s="27" t="e">
        <f>#REF!/AE4</f>
        <v>#REF!</v>
      </c>
    </row>
    <row r="154" spans="1:39" s="6" customFormat="1">
      <c r="D154" s="27"/>
      <c r="F154" s="27"/>
      <c r="H154" s="27"/>
      <c r="J154" s="27"/>
      <c r="L154" s="27"/>
      <c r="N154" s="27"/>
      <c r="P154" s="8"/>
      <c r="Q154" s="4"/>
      <c r="R154" s="4"/>
      <c r="AB154" s="7"/>
      <c r="AC154" s="27"/>
      <c r="AD154" s="27"/>
      <c r="AE154" s="27"/>
      <c r="AF154" s="27"/>
      <c r="AG154" s="27"/>
      <c r="AH154" s="7"/>
      <c r="AI154" s="23"/>
      <c r="AJ154" s="23"/>
      <c r="AK154" s="23"/>
      <c r="AL154" s="23"/>
      <c r="AM154" s="23"/>
    </row>
    <row r="155" spans="1:39" s="6" customFormat="1">
      <c r="D155" s="27"/>
      <c r="F155" s="27"/>
      <c r="H155" s="27"/>
      <c r="J155" s="27"/>
      <c r="L155" s="27"/>
      <c r="N155" s="27"/>
      <c r="P155" s="8"/>
      <c r="Q155" s="4"/>
      <c r="R155" s="4"/>
      <c r="AB155" s="7"/>
      <c r="AC155" s="27"/>
      <c r="AD155" s="27"/>
      <c r="AE155" s="27"/>
      <c r="AF155" s="27"/>
      <c r="AG155" s="27"/>
      <c r="AH155" s="7"/>
      <c r="AI155" s="23"/>
      <c r="AJ155" s="23"/>
      <c r="AK155" s="23"/>
      <c r="AL155" s="23"/>
      <c r="AM155" s="23"/>
    </row>
    <row r="160" spans="1:39">
      <c r="AG160" s="27" t="e">
        <f>#REF!</f>
        <v>#REF!</v>
      </c>
      <c r="AH160" s="4" t="e">
        <f>AG160/4</f>
        <v>#REF!</v>
      </c>
    </row>
    <row r="161" spans="33:33">
      <c r="AG161" s="27" t="e">
        <f>AG160*AE4</f>
        <v>#REF!</v>
      </c>
    </row>
    <row r="165" spans="33:33">
      <c r="AG165" s="27" t="e">
        <f>AG161/2</f>
        <v>#REF!</v>
      </c>
    </row>
  </sheetData>
  <mergeCells count="6">
    <mergeCell ref="S3:AA3"/>
    <mergeCell ref="AC3:AG3"/>
    <mergeCell ref="AI3:AM3"/>
    <mergeCell ref="A8:A9"/>
    <mergeCell ref="B8:B9"/>
    <mergeCell ref="O8:O9"/>
  </mergeCells>
  <pageMargins left="0.7" right="0.7" top="0.75" bottom="0.75" header="0.3" footer="0.3"/>
  <customProperties>
    <customPr name="QAA_DRILLPATH_NODE_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4"/>
  <sheetViews>
    <sheetView workbookViewId="0">
      <selection activeCell="D9" sqref="D9"/>
    </sheetView>
  </sheetViews>
  <sheetFormatPr defaultRowHeight="14.5"/>
  <cols>
    <col min="1" max="1" width="57.54296875" customWidth="1"/>
    <col min="2" max="2" width="14.54296875" customWidth="1"/>
    <col min="3" max="3" width="16.54296875" customWidth="1"/>
    <col min="4" max="4" width="18.453125" customWidth="1"/>
    <col min="5" max="5" width="15.453125" customWidth="1"/>
    <col min="6" max="6" width="10.54296875" customWidth="1"/>
    <col min="8" max="8" width="10.54296875" customWidth="1"/>
    <col min="10" max="10" width="13.81640625" customWidth="1"/>
    <col min="11" max="11" width="11.81640625" customWidth="1"/>
    <col min="12" max="12" width="14.54296875" customWidth="1"/>
    <col min="14" max="14" width="12.453125" bestFit="1" customWidth="1"/>
  </cols>
  <sheetData>
    <row r="1" spans="1:14" ht="45" customHeight="1">
      <c r="B1" s="61" t="s">
        <v>172</v>
      </c>
      <c r="C1" s="61" t="s">
        <v>173</v>
      </c>
      <c r="D1" s="61" t="s">
        <v>174</v>
      </c>
      <c r="E1" s="61" t="s">
        <v>43</v>
      </c>
      <c r="F1" s="61" t="s">
        <v>175</v>
      </c>
      <c r="G1" s="61" t="s">
        <v>176</v>
      </c>
      <c r="H1" s="61" t="s">
        <v>177</v>
      </c>
      <c r="I1" s="61" t="s">
        <v>178</v>
      </c>
      <c r="J1" s="61" t="s">
        <v>179</v>
      </c>
      <c r="K1" s="61" t="s">
        <v>180</v>
      </c>
      <c r="L1" s="61" t="s">
        <v>181</v>
      </c>
    </row>
    <row r="2" spans="1:14">
      <c r="A2" t="s">
        <v>84</v>
      </c>
      <c r="B2">
        <v>3</v>
      </c>
      <c r="C2">
        <v>1</v>
      </c>
      <c r="D2" s="54">
        <v>1</v>
      </c>
      <c r="E2" s="55">
        <f>12*C2</f>
        <v>12</v>
      </c>
      <c r="F2" s="56">
        <v>30150</v>
      </c>
      <c r="G2" s="57">
        <f t="shared" ref="G2:G17" si="0">F2*0.05</f>
        <v>1507.5</v>
      </c>
      <c r="H2" s="57">
        <f t="shared" ref="H2:H17" si="1">F2*0.15</f>
        <v>4522.5</v>
      </c>
      <c r="I2">
        <v>950</v>
      </c>
      <c r="J2" s="57">
        <f t="shared" ref="J2:J17" si="2">F2*0.01</f>
        <v>301.5</v>
      </c>
      <c r="K2" s="57">
        <f>SUM(F2:J2)</f>
        <v>37431.5</v>
      </c>
      <c r="L2" s="58">
        <f>K2*D2</f>
        <v>37431.5</v>
      </c>
      <c r="N2" s="190">
        <f>L2*E2</f>
        <v>449178</v>
      </c>
    </row>
    <row r="3" spans="1:14">
      <c r="A3" t="s">
        <v>85</v>
      </c>
      <c r="B3">
        <v>4</v>
      </c>
      <c r="C3">
        <v>1</v>
      </c>
      <c r="D3" s="54">
        <v>1</v>
      </c>
      <c r="E3" s="55">
        <f t="shared" ref="E3:E17" si="3">12*C3</f>
        <v>12</v>
      </c>
      <c r="F3" s="56">
        <v>26189</v>
      </c>
      <c r="G3" s="57">
        <f t="shared" si="0"/>
        <v>1309.45</v>
      </c>
      <c r="H3" s="57">
        <f t="shared" si="1"/>
        <v>3928.35</v>
      </c>
      <c r="I3">
        <v>950</v>
      </c>
      <c r="J3" s="57">
        <f t="shared" si="2"/>
        <v>261.89</v>
      </c>
      <c r="K3" s="57">
        <f t="shared" ref="K3:K17" si="4">SUM(F3:J3)</f>
        <v>32638.69</v>
      </c>
      <c r="L3" s="58">
        <f t="shared" ref="L3:L17" si="5">K3*D3</f>
        <v>32638.69</v>
      </c>
      <c r="N3" s="190">
        <f t="shared" ref="N3:N17" si="6">L3*E3</f>
        <v>391664.27999999997</v>
      </c>
    </row>
    <row r="4" spans="1:14">
      <c r="A4" t="s">
        <v>86</v>
      </c>
      <c r="B4">
        <v>3</v>
      </c>
      <c r="C4">
        <v>1</v>
      </c>
      <c r="D4" s="54">
        <v>1</v>
      </c>
      <c r="E4" s="55">
        <f t="shared" si="3"/>
        <v>12</v>
      </c>
      <c r="F4" s="56">
        <v>26189</v>
      </c>
      <c r="G4" s="57">
        <f t="shared" si="0"/>
        <v>1309.45</v>
      </c>
      <c r="H4" s="57">
        <f t="shared" si="1"/>
        <v>3928.35</v>
      </c>
      <c r="I4">
        <v>950</v>
      </c>
      <c r="J4" s="57">
        <f t="shared" si="2"/>
        <v>261.89</v>
      </c>
      <c r="K4" s="57">
        <f t="shared" si="4"/>
        <v>32638.69</v>
      </c>
      <c r="L4" s="58">
        <f t="shared" si="5"/>
        <v>32638.69</v>
      </c>
      <c r="N4" s="190">
        <f t="shared" si="6"/>
        <v>391664.27999999997</v>
      </c>
    </row>
    <row r="5" spans="1:14">
      <c r="A5" t="s">
        <v>87</v>
      </c>
      <c r="B5">
        <v>4</v>
      </c>
      <c r="C5">
        <v>1</v>
      </c>
      <c r="D5" s="54">
        <v>1</v>
      </c>
      <c r="E5" s="55">
        <f t="shared" si="3"/>
        <v>12</v>
      </c>
      <c r="F5" s="56">
        <v>21274</v>
      </c>
      <c r="G5" s="57">
        <f t="shared" si="0"/>
        <v>1063.7</v>
      </c>
      <c r="H5" s="57">
        <f t="shared" si="1"/>
        <v>3191.1</v>
      </c>
      <c r="I5">
        <v>950</v>
      </c>
      <c r="J5" s="57">
        <f t="shared" si="2"/>
        <v>212.74</v>
      </c>
      <c r="K5" s="57">
        <f t="shared" si="4"/>
        <v>26691.54</v>
      </c>
      <c r="L5" s="58">
        <f t="shared" si="5"/>
        <v>26691.54</v>
      </c>
      <c r="N5" s="190">
        <f t="shared" si="6"/>
        <v>320298.48</v>
      </c>
    </row>
    <row r="6" spans="1:14">
      <c r="A6" t="s">
        <v>88</v>
      </c>
      <c r="B6">
        <v>4</v>
      </c>
      <c r="C6">
        <v>1</v>
      </c>
      <c r="D6" s="54">
        <v>1</v>
      </c>
      <c r="E6" s="55">
        <f t="shared" si="3"/>
        <v>12</v>
      </c>
      <c r="F6" s="56">
        <v>21274</v>
      </c>
      <c r="G6" s="57">
        <f t="shared" si="0"/>
        <v>1063.7</v>
      </c>
      <c r="H6" s="57">
        <f t="shared" si="1"/>
        <v>3191.1</v>
      </c>
      <c r="I6">
        <v>950</v>
      </c>
      <c r="J6" s="57">
        <f t="shared" si="2"/>
        <v>212.74</v>
      </c>
      <c r="K6" s="57">
        <f t="shared" si="4"/>
        <v>26691.54</v>
      </c>
      <c r="L6" s="58">
        <f t="shared" si="5"/>
        <v>26691.54</v>
      </c>
      <c r="N6" s="190">
        <f t="shared" si="6"/>
        <v>320298.48</v>
      </c>
    </row>
    <row r="7" spans="1:14">
      <c r="A7" t="s">
        <v>182</v>
      </c>
      <c r="C7">
        <v>3</v>
      </c>
      <c r="D7" s="54">
        <v>0.5</v>
      </c>
      <c r="E7" s="55">
        <f t="shared" si="3"/>
        <v>36</v>
      </c>
      <c r="F7" s="56">
        <v>9970</v>
      </c>
      <c r="G7" s="57">
        <f>F7*0.05</f>
        <v>498.5</v>
      </c>
      <c r="H7" s="57">
        <f>F7*0.15</f>
        <v>1495.5</v>
      </c>
      <c r="I7">
        <v>950</v>
      </c>
      <c r="J7" s="57">
        <f>F7*0.01</f>
        <v>99.7</v>
      </c>
      <c r="K7" s="57">
        <f t="shared" si="4"/>
        <v>13013.7</v>
      </c>
      <c r="L7" s="58">
        <f t="shared" si="5"/>
        <v>6506.85</v>
      </c>
      <c r="N7" s="190">
        <f t="shared" si="6"/>
        <v>234246.6</v>
      </c>
    </row>
    <row r="8" spans="1:14">
      <c r="A8" t="s">
        <v>183</v>
      </c>
      <c r="B8">
        <v>3</v>
      </c>
      <c r="C8">
        <v>1</v>
      </c>
      <c r="D8" s="54">
        <v>0.3</v>
      </c>
      <c r="E8" s="55">
        <f t="shared" si="3"/>
        <v>12</v>
      </c>
      <c r="F8" s="56">
        <v>26189</v>
      </c>
      <c r="G8" s="57">
        <f t="shared" si="0"/>
        <v>1309.45</v>
      </c>
      <c r="H8" s="57">
        <f t="shared" si="1"/>
        <v>3928.35</v>
      </c>
      <c r="I8">
        <v>950</v>
      </c>
      <c r="J8" s="57">
        <f t="shared" si="2"/>
        <v>261.89</v>
      </c>
      <c r="K8" s="57">
        <f>SUM(F8:J8)</f>
        <v>32638.69</v>
      </c>
      <c r="L8" s="58">
        <f t="shared" si="5"/>
        <v>9791.607</v>
      </c>
      <c r="N8" s="190">
        <f t="shared" si="6"/>
        <v>117499.284</v>
      </c>
    </row>
    <row r="9" spans="1:14">
      <c r="A9" t="s">
        <v>184</v>
      </c>
      <c r="B9">
        <v>4</v>
      </c>
      <c r="C9">
        <v>1</v>
      </c>
      <c r="D9" s="54">
        <v>0.5</v>
      </c>
      <c r="E9" s="55">
        <f t="shared" si="3"/>
        <v>12</v>
      </c>
      <c r="F9" s="56">
        <v>26189</v>
      </c>
      <c r="G9" s="57">
        <f t="shared" si="0"/>
        <v>1309.45</v>
      </c>
      <c r="H9" s="57">
        <f t="shared" si="1"/>
        <v>3928.35</v>
      </c>
      <c r="I9">
        <v>950</v>
      </c>
      <c r="J9" s="57">
        <f t="shared" si="2"/>
        <v>261.89</v>
      </c>
      <c r="K9" s="57">
        <f t="shared" si="4"/>
        <v>32638.69</v>
      </c>
      <c r="L9" s="58">
        <f t="shared" si="5"/>
        <v>16319.344999999999</v>
      </c>
      <c r="N9" s="190">
        <f t="shared" si="6"/>
        <v>195832.13999999998</v>
      </c>
    </row>
    <row r="10" spans="1:14">
      <c r="A10" t="s">
        <v>185</v>
      </c>
      <c r="B10">
        <v>4</v>
      </c>
      <c r="C10">
        <v>4</v>
      </c>
      <c r="D10" s="54">
        <v>0.3</v>
      </c>
      <c r="E10" s="55">
        <f t="shared" si="3"/>
        <v>48</v>
      </c>
      <c r="F10" s="56">
        <v>26189</v>
      </c>
      <c r="G10" s="57">
        <f t="shared" si="0"/>
        <v>1309.45</v>
      </c>
      <c r="H10" s="57">
        <f t="shared" si="1"/>
        <v>3928.35</v>
      </c>
      <c r="I10">
        <v>950</v>
      </c>
      <c r="J10" s="57">
        <f t="shared" si="2"/>
        <v>261.89</v>
      </c>
      <c r="K10" s="57">
        <f t="shared" si="4"/>
        <v>32638.69</v>
      </c>
      <c r="L10" s="58">
        <f>K10*D10</f>
        <v>9791.607</v>
      </c>
      <c r="N10" s="190">
        <f t="shared" si="6"/>
        <v>469997.136</v>
      </c>
    </row>
    <row r="11" spans="1:14">
      <c r="A11" t="s">
        <v>186</v>
      </c>
      <c r="B11">
        <v>3</v>
      </c>
      <c r="C11">
        <v>6</v>
      </c>
      <c r="D11" s="54">
        <v>0.5</v>
      </c>
      <c r="E11" s="55">
        <f>12*C11</f>
        <v>72</v>
      </c>
      <c r="F11" s="56">
        <v>10058</v>
      </c>
      <c r="G11" s="57">
        <f t="shared" si="0"/>
        <v>502.90000000000003</v>
      </c>
      <c r="H11" s="57">
        <f t="shared" si="1"/>
        <v>1508.7</v>
      </c>
      <c r="I11">
        <v>950</v>
      </c>
      <c r="J11" s="57">
        <f t="shared" si="2"/>
        <v>100.58</v>
      </c>
      <c r="K11" s="57">
        <f t="shared" si="4"/>
        <v>13120.18</v>
      </c>
      <c r="L11" s="58">
        <f t="shared" si="5"/>
        <v>6560.09</v>
      </c>
      <c r="M11" s="57">
        <f>K11*0.5*7</f>
        <v>45920.630000000005</v>
      </c>
      <c r="N11" s="190">
        <f t="shared" si="6"/>
        <v>472326.48</v>
      </c>
    </row>
    <row r="12" spans="1:14">
      <c r="A12" t="s">
        <v>187</v>
      </c>
      <c r="C12">
        <v>1</v>
      </c>
      <c r="D12" s="54">
        <v>0.3</v>
      </c>
      <c r="E12" s="55">
        <f t="shared" si="3"/>
        <v>12</v>
      </c>
      <c r="F12" s="56">
        <v>26189</v>
      </c>
      <c r="G12" s="57">
        <f t="shared" si="0"/>
        <v>1309.45</v>
      </c>
      <c r="H12" s="57">
        <f t="shared" si="1"/>
        <v>3928.35</v>
      </c>
      <c r="I12">
        <v>950</v>
      </c>
      <c r="J12" s="57">
        <f t="shared" si="2"/>
        <v>261.89</v>
      </c>
      <c r="K12" s="57">
        <f t="shared" si="4"/>
        <v>32638.69</v>
      </c>
      <c r="L12" s="58">
        <f t="shared" si="5"/>
        <v>9791.607</v>
      </c>
      <c r="N12" s="190">
        <f t="shared" si="6"/>
        <v>117499.284</v>
      </c>
    </row>
    <row r="13" spans="1:14">
      <c r="A13" t="s">
        <v>188</v>
      </c>
      <c r="B13">
        <v>2</v>
      </c>
      <c r="C13">
        <v>1</v>
      </c>
      <c r="D13" s="54">
        <v>0.3</v>
      </c>
      <c r="E13" s="55">
        <f t="shared" si="3"/>
        <v>12</v>
      </c>
      <c r="F13" s="56">
        <v>34854</v>
      </c>
      <c r="G13" s="57">
        <f t="shared" si="0"/>
        <v>1742.7</v>
      </c>
      <c r="H13" s="57">
        <f t="shared" si="1"/>
        <v>5228.0999999999995</v>
      </c>
      <c r="I13">
        <v>950</v>
      </c>
      <c r="J13" s="57">
        <f t="shared" si="2"/>
        <v>348.54</v>
      </c>
      <c r="K13" s="57">
        <f t="shared" si="4"/>
        <v>43123.34</v>
      </c>
      <c r="L13" s="58">
        <f t="shared" si="5"/>
        <v>12937.001999999999</v>
      </c>
      <c r="N13" s="190">
        <f t="shared" si="6"/>
        <v>155244.02399999998</v>
      </c>
    </row>
    <row r="14" spans="1:14">
      <c r="A14" t="s">
        <v>189</v>
      </c>
      <c r="B14">
        <v>2</v>
      </c>
      <c r="C14">
        <v>1</v>
      </c>
      <c r="D14" s="54">
        <v>0.3</v>
      </c>
      <c r="E14" s="55">
        <f t="shared" si="3"/>
        <v>12</v>
      </c>
      <c r="F14" s="56">
        <v>34854</v>
      </c>
      <c r="G14" s="57">
        <f t="shared" si="0"/>
        <v>1742.7</v>
      </c>
      <c r="H14" s="57">
        <f t="shared" si="1"/>
        <v>5228.0999999999995</v>
      </c>
      <c r="I14">
        <v>950</v>
      </c>
      <c r="J14" s="57">
        <f t="shared" si="2"/>
        <v>348.54</v>
      </c>
      <c r="K14" s="57">
        <f t="shared" si="4"/>
        <v>43123.34</v>
      </c>
      <c r="L14" s="58">
        <f t="shared" si="5"/>
        <v>12937.001999999999</v>
      </c>
      <c r="N14" s="190">
        <f t="shared" si="6"/>
        <v>155244.02399999998</v>
      </c>
    </row>
    <row r="15" spans="1:14">
      <c r="A15" t="s">
        <v>190</v>
      </c>
      <c r="B15">
        <v>2</v>
      </c>
      <c r="C15">
        <v>1</v>
      </c>
      <c r="D15" s="54">
        <v>0.2</v>
      </c>
      <c r="E15" s="55">
        <f t="shared" si="3"/>
        <v>12</v>
      </c>
      <c r="F15" s="56">
        <v>34854</v>
      </c>
      <c r="G15" s="57">
        <f t="shared" si="0"/>
        <v>1742.7</v>
      </c>
      <c r="H15" s="57">
        <f t="shared" si="1"/>
        <v>5228.0999999999995</v>
      </c>
      <c r="I15">
        <v>950</v>
      </c>
      <c r="J15" s="57">
        <f t="shared" si="2"/>
        <v>348.54</v>
      </c>
      <c r="K15" s="57">
        <f t="shared" si="4"/>
        <v>43123.34</v>
      </c>
      <c r="L15" s="58">
        <f t="shared" si="5"/>
        <v>8624.6679999999997</v>
      </c>
      <c r="N15" s="190">
        <f t="shared" si="6"/>
        <v>103496.016</v>
      </c>
    </row>
    <row r="16" spans="1:14">
      <c r="A16" t="s">
        <v>191</v>
      </c>
      <c r="B16">
        <v>2</v>
      </c>
      <c r="C16">
        <v>1</v>
      </c>
      <c r="D16" s="54">
        <v>0.2</v>
      </c>
      <c r="E16" s="55">
        <f t="shared" si="3"/>
        <v>12</v>
      </c>
      <c r="F16" s="56">
        <v>34854</v>
      </c>
      <c r="G16" s="57">
        <f t="shared" si="0"/>
        <v>1742.7</v>
      </c>
      <c r="H16" s="57">
        <f t="shared" si="1"/>
        <v>5228.0999999999995</v>
      </c>
      <c r="I16">
        <v>950</v>
      </c>
      <c r="J16" s="57">
        <f t="shared" si="2"/>
        <v>348.54</v>
      </c>
      <c r="K16" s="57">
        <f t="shared" si="4"/>
        <v>43123.34</v>
      </c>
      <c r="L16" s="58">
        <f t="shared" si="5"/>
        <v>8624.6679999999997</v>
      </c>
      <c r="N16" s="190">
        <f t="shared" si="6"/>
        <v>103496.016</v>
      </c>
    </row>
    <row r="17" spans="1:14">
      <c r="A17" t="s">
        <v>192</v>
      </c>
      <c r="B17">
        <v>1</v>
      </c>
      <c r="C17">
        <v>1</v>
      </c>
      <c r="D17" s="54">
        <v>0.1</v>
      </c>
      <c r="E17" s="55">
        <f t="shared" si="3"/>
        <v>12</v>
      </c>
      <c r="F17" s="56">
        <v>50881</v>
      </c>
      <c r="G17" s="57">
        <f t="shared" si="0"/>
        <v>2544.0500000000002</v>
      </c>
      <c r="H17" s="57">
        <f t="shared" si="1"/>
        <v>7632.15</v>
      </c>
      <c r="I17">
        <v>950</v>
      </c>
      <c r="J17" s="57">
        <f t="shared" si="2"/>
        <v>508.81</v>
      </c>
      <c r="K17" s="57">
        <f t="shared" si="4"/>
        <v>62516.01</v>
      </c>
      <c r="L17" s="58">
        <f t="shared" si="5"/>
        <v>6251.6010000000006</v>
      </c>
      <c r="N17" s="190">
        <f t="shared" si="6"/>
        <v>75019.212</v>
      </c>
    </row>
    <row r="18" spans="1:14">
      <c r="L18" s="58"/>
    </row>
    <row r="19" spans="1:14">
      <c r="D19" s="54"/>
      <c r="E19" s="54"/>
      <c r="K19" t="s">
        <v>193</v>
      </c>
      <c r="L19" s="62">
        <f>SUM(L2:L18)</f>
        <v>264228.00700000004</v>
      </c>
    </row>
    <row r="20" spans="1:14">
      <c r="D20" s="54"/>
      <c r="E20" s="54"/>
      <c r="K20" t="s">
        <v>194</v>
      </c>
      <c r="L20" s="62">
        <f>L19*12</f>
        <v>3170736.0840000007</v>
      </c>
    </row>
    <row r="21" spans="1:14">
      <c r="D21" s="54"/>
      <c r="E21" s="54"/>
    </row>
    <row r="22" spans="1:14">
      <c r="D22" s="54"/>
      <c r="E22" s="54"/>
      <c r="L22" s="58">
        <f>L20*1.05</f>
        <v>3329272.8882000009</v>
      </c>
    </row>
    <row r="24" spans="1:14">
      <c r="A24" s="53" t="s">
        <v>195</v>
      </c>
      <c r="B24" s="53" t="s">
        <v>196</v>
      </c>
      <c r="C24" s="53" t="s">
        <v>197</v>
      </c>
      <c r="D24" s="53" t="s">
        <v>198</v>
      </c>
      <c r="E24" s="53" t="s">
        <v>199</v>
      </c>
      <c r="F24" s="53" t="s">
        <v>200</v>
      </c>
      <c r="G24" s="53" t="s">
        <v>201</v>
      </c>
    </row>
    <row r="25" spans="1:14">
      <c r="A25" t="s">
        <v>202</v>
      </c>
      <c r="B25">
        <v>9167</v>
      </c>
      <c r="C25">
        <v>32</v>
      </c>
      <c r="D25">
        <v>7</v>
      </c>
      <c r="E25" s="60">
        <f>B25/C25*D25</f>
        <v>2005.28125</v>
      </c>
      <c r="F25" s="54">
        <f>D25/C25</f>
        <v>0.21875</v>
      </c>
      <c r="G25" t="s">
        <v>203</v>
      </c>
    </row>
    <row r="26" spans="1:14">
      <c r="A26" t="s">
        <v>204</v>
      </c>
      <c r="B26" s="60">
        <f>189323/12</f>
        <v>15776.916666666666</v>
      </c>
      <c r="C26">
        <v>32</v>
      </c>
      <c r="D26">
        <v>7</v>
      </c>
      <c r="E26" s="60">
        <f>B26/C26*D26</f>
        <v>3451.200520833333</v>
      </c>
      <c r="G26" t="s">
        <v>205</v>
      </c>
    </row>
    <row r="28" spans="1:14">
      <c r="A28" t="s">
        <v>206</v>
      </c>
      <c r="B28">
        <f>3350*2</f>
        <v>6700</v>
      </c>
      <c r="E28" s="60">
        <f>B28/3</f>
        <v>2233.3333333333335</v>
      </c>
      <c r="F28" s="54">
        <f>E28/B28</f>
        <v>0.33333333333333337</v>
      </c>
      <c r="G28" t="s">
        <v>207</v>
      </c>
    </row>
    <row r="29" spans="1:14">
      <c r="A29" t="s">
        <v>208</v>
      </c>
      <c r="B29">
        <f>3350*3</f>
        <v>10050</v>
      </c>
      <c r="E29">
        <f>B29</f>
        <v>10050</v>
      </c>
      <c r="F29" s="63">
        <v>1</v>
      </c>
      <c r="G29" t="s">
        <v>209</v>
      </c>
    </row>
    <row r="31" spans="1:14">
      <c r="A31" t="s">
        <v>210</v>
      </c>
      <c r="B31">
        <f>80140/12*2</f>
        <v>13356.666666666666</v>
      </c>
      <c r="E31" s="60">
        <f>B31/3</f>
        <v>4452.2222222222217</v>
      </c>
      <c r="G31" t="s">
        <v>207</v>
      </c>
    </row>
    <row r="32" spans="1:14">
      <c r="A32" t="s">
        <v>211</v>
      </c>
      <c r="B32" s="60">
        <f>80140*3/12</f>
        <v>20035</v>
      </c>
      <c r="E32" s="60">
        <f>B32</f>
        <v>20035</v>
      </c>
      <c r="G32" t="s">
        <v>209</v>
      </c>
    </row>
    <row r="34" spans="1:7">
      <c r="A34" t="s">
        <v>212</v>
      </c>
      <c r="B34" s="60">
        <f>39350/12</f>
        <v>3279.1666666666665</v>
      </c>
      <c r="E34" s="59">
        <f>B34</f>
        <v>3279.1666666666665</v>
      </c>
      <c r="G34" t="s">
        <v>213</v>
      </c>
    </row>
    <row r="40" spans="1:7">
      <c r="A40" s="53" t="s">
        <v>214</v>
      </c>
      <c r="B40" t="s">
        <v>215</v>
      </c>
      <c r="C40" t="s">
        <v>216</v>
      </c>
      <c r="E40" t="s">
        <v>217</v>
      </c>
      <c r="F40" s="53" t="s">
        <v>201</v>
      </c>
    </row>
    <row r="41" spans="1:7">
      <c r="A41" t="s">
        <v>218</v>
      </c>
      <c r="B41">
        <v>15000</v>
      </c>
      <c r="C41">
        <v>15</v>
      </c>
      <c r="E41">
        <f>B41*C41</f>
        <v>225000</v>
      </c>
    </row>
    <row r="42" spans="1:7">
      <c r="A42" t="s">
        <v>219</v>
      </c>
      <c r="B42">
        <v>24000</v>
      </c>
      <c r="C42">
        <v>4</v>
      </c>
      <c r="E42">
        <f>B42*C42</f>
        <v>96000</v>
      </c>
    </row>
    <row r="43" spans="1:7">
      <c r="A43" t="s">
        <v>220</v>
      </c>
      <c r="B43">
        <f>450000</f>
        <v>450000</v>
      </c>
      <c r="C43">
        <v>3</v>
      </c>
      <c r="E43">
        <f>B43*C43</f>
        <v>1350000</v>
      </c>
    </row>
    <row r="44" spans="1:7">
      <c r="A44" t="s">
        <v>221</v>
      </c>
      <c r="B44">
        <f>3000+500+2000+350</f>
        <v>5850</v>
      </c>
      <c r="C44">
        <v>3</v>
      </c>
      <c r="E44">
        <f>B44*C44</f>
        <v>17550</v>
      </c>
    </row>
    <row r="45" spans="1:7">
      <c r="A45" t="s">
        <v>222</v>
      </c>
      <c r="B45">
        <v>3000</v>
      </c>
      <c r="C45">
        <v>1</v>
      </c>
      <c r="E45">
        <f>B45*C45</f>
        <v>3000</v>
      </c>
    </row>
    <row r="47" spans="1:7">
      <c r="A47" s="18" t="s">
        <v>126</v>
      </c>
      <c r="B47" t="s">
        <v>135</v>
      </c>
    </row>
    <row r="48" spans="1:7">
      <c r="A48" t="s">
        <v>223</v>
      </c>
      <c r="B48">
        <v>40000</v>
      </c>
    </row>
    <row r="49" spans="1:5">
      <c r="A49" t="s">
        <v>224</v>
      </c>
      <c r="B49">
        <f>120000/4</f>
        <v>30000</v>
      </c>
    </row>
    <row r="52" spans="1:5">
      <c r="A52" s="53" t="s">
        <v>225</v>
      </c>
      <c r="C52" s="68" t="s">
        <v>226</v>
      </c>
    </row>
    <row r="53" spans="1:5">
      <c r="A53" t="s">
        <v>227</v>
      </c>
      <c r="B53" s="64">
        <f>(965*12)*4</f>
        <v>46320</v>
      </c>
      <c r="C53" s="67">
        <f>B53*14.28</f>
        <v>661449.6</v>
      </c>
      <c r="D53">
        <f>(965*12)*14.28</f>
        <v>165362.4</v>
      </c>
    </row>
    <row r="54" spans="1:5">
      <c r="A54" t="s">
        <v>228</v>
      </c>
      <c r="B54" s="64">
        <v>20000</v>
      </c>
      <c r="C54" s="67">
        <f t="shared" ref="C54:C55" si="7">B54*14.28</f>
        <v>285600</v>
      </c>
      <c r="D54" s="67">
        <f>B54*14.28</f>
        <v>285600</v>
      </c>
    </row>
    <row r="55" spans="1:5">
      <c r="A55" t="s">
        <v>229</v>
      </c>
      <c r="B55" s="64">
        <v>5000</v>
      </c>
      <c r="C55" s="67">
        <f t="shared" si="7"/>
        <v>71400</v>
      </c>
      <c r="D55" s="67">
        <f>B55*14.28</f>
        <v>71400</v>
      </c>
    </row>
    <row r="56" spans="1:5">
      <c r="A56" t="s">
        <v>230</v>
      </c>
      <c r="B56" s="64">
        <f>(32639*6)</f>
        <v>195834</v>
      </c>
      <c r="C56" s="67">
        <f>B56*14.28</f>
        <v>2796509.52</v>
      </c>
      <c r="D56" s="65">
        <f>B56</f>
        <v>195834</v>
      </c>
    </row>
    <row r="57" spans="1:5">
      <c r="B57" s="66">
        <f>SUM(B53:B56)</f>
        <v>267154</v>
      </c>
      <c r="C57" s="67">
        <f>B57*14.28</f>
        <v>3814959.1199999996</v>
      </c>
      <c r="D57" s="65">
        <f>C57*14.28</f>
        <v>54477616.233599991</v>
      </c>
      <c r="E57" s="67">
        <f>D57*0.07</f>
        <v>3813433.1363519998</v>
      </c>
    </row>
    <row r="60" spans="1:5" ht="29">
      <c r="A60" s="69" t="s">
        <v>231</v>
      </c>
      <c r="B60" s="53" t="s">
        <v>232</v>
      </c>
      <c r="C60" s="53" t="s">
        <v>233</v>
      </c>
      <c r="D60" s="53" t="s">
        <v>234</v>
      </c>
      <c r="E60" s="53" t="s">
        <v>235</v>
      </c>
    </row>
    <row r="61" spans="1:5">
      <c r="A61" s="221" t="s">
        <v>236</v>
      </c>
    </row>
    <row r="62" spans="1:5" ht="58">
      <c r="A62" s="147" t="s">
        <v>237</v>
      </c>
      <c r="C62" s="181"/>
      <c r="D62" s="181"/>
    </row>
    <row r="63" spans="1:5" ht="43.5">
      <c r="A63" s="147" t="s">
        <v>238</v>
      </c>
    </row>
    <row r="64" spans="1:5" ht="29">
      <c r="A64" s="147" t="s">
        <v>239</v>
      </c>
      <c r="E64" t="s">
        <v>240</v>
      </c>
    </row>
  </sheetData>
  <pageMargins left="0.7" right="0.7" top="0.75" bottom="0.75" header="0.3" footer="0.3"/>
  <pageSetup paperSize="9" orientation="portrait" r:id="rId1"/>
  <customProperties>
    <customPr name="QAA_DRILLPATH_NODE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117"/>
  <sheetViews>
    <sheetView workbookViewId="0">
      <selection activeCell="H3" sqref="H3"/>
    </sheetView>
  </sheetViews>
  <sheetFormatPr defaultColWidth="8.81640625" defaultRowHeight="10.5"/>
  <cols>
    <col min="1" max="1" width="81" style="122" customWidth="1"/>
    <col min="2" max="2" width="18.453125" style="122" bestFit="1" customWidth="1"/>
    <col min="3" max="3" width="4.54296875" style="122" bestFit="1" customWidth="1"/>
    <col min="4" max="4" width="9.1796875" style="122" bestFit="1" customWidth="1"/>
    <col min="5" max="5" width="8.81640625" style="122"/>
    <col min="6" max="6" width="12.453125" style="124" customWidth="1"/>
    <col min="7" max="7" width="1" style="122" customWidth="1"/>
    <col min="8" max="8" width="81.453125" style="122" customWidth="1"/>
    <col min="9" max="9" width="12.1796875" style="122" bestFit="1" customWidth="1"/>
    <col min="10" max="10" width="4.54296875" style="122" bestFit="1" customWidth="1"/>
    <col min="11" max="11" width="9.1796875" style="122" bestFit="1" customWidth="1"/>
    <col min="12" max="12" width="8.1796875" style="122" bestFit="1" customWidth="1"/>
    <col min="13" max="13" width="11" style="124" customWidth="1"/>
    <col min="14" max="14" width="1" style="122" customWidth="1"/>
    <col min="15" max="15" width="67.453125" style="122" bestFit="1" customWidth="1"/>
    <col min="16" max="16" width="16.54296875" style="122" customWidth="1"/>
    <col min="17" max="17" width="4.54296875" style="122" bestFit="1" customWidth="1"/>
    <col min="18" max="18" width="9.1796875" style="122" bestFit="1" customWidth="1"/>
    <col min="19" max="19" width="8.54296875" style="122" bestFit="1" customWidth="1"/>
    <col min="20" max="20" width="11" style="124" customWidth="1"/>
    <col min="21" max="21" width="1" style="122" customWidth="1"/>
    <col min="22" max="22" width="67.453125" style="122" bestFit="1" customWidth="1"/>
    <col min="23" max="23" width="16.54296875" style="122" customWidth="1"/>
    <col min="24" max="24" width="4.54296875" style="122" bestFit="1" customWidth="1"/>
    <col min="25" max="25" width="9.1796875" style="122" bestFit="1" customWidth="1"/>
    <col min="26" max="26" width="8.54296875" style="122" bestFit="1" customWidth="1"/>
    <col min="27" max="27" width="11" style="124" customWidth="1"/>
    <col min="28" max="28" width="1" style="122" customWidth="1"/>
    <col min="29" max="228" width="8.81640625" style="122"/>
    <col min="229" max="229" width="20.1796875" style="122" bestFit="1" customWidth="1"/>
    <col min="230" max="230" width="21.453125" style="122" bestFit="1" customWidth="1"/>
    <col min="231" max="231" width="21.453125" style="122" customWidth="1"/>
    <col min="232" max="232" width="9.453125" style="122" bestFit="1" customWidth="1"/>
    <col min="233" max="234" width="8.81640625" style="122"/>
    <col min="235" max="235" width="11" style="122" customWidth="1"/>
    <col min="236" max="484" width="8.81640625" style="122"/>
    <col min="485" max="485" width="20.1796875" style="122" bestFit="1" customWidth="1"/>
    <col min="486" max="486" width="21.453125" style="122" bestFit="1" customWidth="1"/>
    <col min="487" max="487" width="21.453125" style="122" customWidth="1"/>
    <col min="488" max="488" width="9.453125" style="122" bestFit="1" customWidth="1"/>
    <col min="489" max="490" width="8.81640625" style="122"/>
    <col min="491" max="491" width="11" style="122" customWidth="1"/>
    <col min="492" max="740" width="8.81640625" style="122"/>
    <col min="741" max="741" width="20.1796875" style="122" bestFit="1" customWidth="1"/>
    <col min="742" max="742" width="21.453125" style="122" bestFit="1" customWidth="1"/>
    <col min="743" max="743" width="21.453125" style="122" customWidth="1"/>
    <col min="744" max="744" width="9.453125" style="122" bestFit="1" customWidth="1"/>
    <col min="745" max="746" width="8.81640625" style="122"/>
    <col min="747" max="747" width="11" style="122" customWidth="1"/>
    <col min="748" max="996" width="8.81640625" style="122"/>
    <col min="997" max="997" width="20.1796875" style="122" bestFit="1" customWidth="1"/>
    <col min="998" max="998" width="21.453125" style="122" bestFit="1" customWidth="1"/>
    <col min="999" max="999" width="21.453125" style="122" customWidth="1"/>
    <col min="1000" max="1000" width="9.453125" style="122" bestFit="1" customWidth="1"/>
    <col min="1001" max="1002" width="8.81640625" style="122"/>
    <col min="1003" max="1003" width="11" style="122" customWidth="1"/>
    <col min="1004" max="1252" width="8.81640625" style="122"/>
    <col min="1253" max="1253" width="20.1796875" style="122" bestFit="1" customWidth="1"/>
    <col min="1254" max="1254" width="21.453125" style="122" bestFit="1" customWidth="1"/>
    <col min="1255" max="1255" width="21.453125" style="122" customWidth="1"/>
    <col min="1256" max="1256" width="9.453125" style="122" bestFit="1" customWidth="1"/>
    <col min="1257" max="1258" width="8.81640625" style="122"/>
    <col min="1259" max="1259" width="11" style="122" customWidth="1"/>
    <col min="1260" max="1508" width="8.81640625" style="122"/>
    <col min="1509" max="1509" width="20.1796875" style="122" bestFit="1" customWidth="1"/>
    <col min="1510" max="1510" width="21.453125" style="122" bestFit="1" customWidth="1"/>
    <col min="1511" max="1511" width="21.453125" style="122" customWidth="1"/>
    <col min="1512" max="1512" width="9.453125" style="122" bestFit="1" customWidth="1"/>
    <col min="1513" max="1514" width="8.81640625" style="122"/>
    <col min="1515" max="1515" width="11" style="122" customWidth="1"/>
    <col min="1516" max="1764" width="8.81640625" style="122"/>
    <col min="1765" max="1765" width="20.1796875" style="122" bestFit="1" customWidth="1"/>
    <col min="1766" max="1766" width="21.453125" style="122" bestFit="1" customWidth="1"/>
    <col min="1767" max="1767" width="21.453125" style="122" customWidth="1"/>
    <col min="1768" max="1768" width="9.453125" style="122" bestFit="1" customWidth="1"/>
    <col min="1769" max="1770" width="8.81640625" style="122"/>
    <col min="1771" max="1771" width="11" style="122" customWidth="1"/>
    <col min="1772" max="2020" width="8.81640625" style="122"/>
    <col min="2021" max="2021" width="20.1796875" style="122" bestFit="1" customWidth="1"/>
    <col min="2022" max="2022" width="21.453125" style="122" bestFit="1" customWidth="1"/>
    <col min="2023" max="2023" width="21.453125" style="122" customWidth="1"/>
    <col min="2024" max="2024" width="9.453125" style="122" bestFit="1" customWidth="1"/>
    <col min="2025" max="2026" width="8.81640625" style="122"/>
    <col min="2027" max="2027" width="11" style="122" customWidth="1"/>
    <col min="2028" max="2276" width="8.81640625" style="122"/>
    <col min="2277" max="2277" width="20.1796875" style="122" bestFit="1" customWidth="1"/>
    <col min="2278" max="2278" width="21.453125" style="122" bestFit="1" customWidth="1"/>
    <col min="2279" max="2279" width="21.453125" style="122" customWidth="1"/>
    <col min="2280" max="2280" width="9.453125" style="122" bestFit="1" customWidth="1"/>
    <col min="2281" max="2282" width="8.81640625" style="122"/>
    <col min="2283" max="2283" width="11" style="122" customWidth="1"/>
    <col min="2284" max="2532" width="8.81640625" style="122"/>
    <col min="2533" max="2533" width="20.1796875" style="122" bestFit="1" customWidth="1"/>
    <col min="2534" max="2534" width="21.453125" style="122" bestFit="1" customWidth="1"/>
    <col min="2535" max="2535" width="21.453125" style="122" customWidth="1"/>
    <col min="2536" max="2536" width="9.453125" style="122" bestFit="1" customWidth="1"/>
    <col min="2537" max="2538" width="8.81640625" style="122"/>
    <col min="2539" max="2539" width="11" style="122" customWidth="1"/>
    <col min="2540" max="2788" width="8.81640625" style="122"/>
    <col min="2789" max="2789" width="20.1796875" style="122" bestFit="1" customWidth="1"/>
    <col min="2790" max="2790" width="21.453125" style="122" bestFit="1" customWidth="1"/>
    <col min="2791" max="2791" width="21.453125" style="122" customWidth="1"/>
    <col min="2792" max="2792" width="9.453125" style="122" bestFit="1" customWidth="1"/>
    <col min="2793" max="2794" width="8.81640625" style="122"/>
    <col min="2795" max="2795" width="11" style="122" customWidth="1"/>
    <col min="2796" max="3044" width="8.81640625" style="122"/>
    <col min="3045" max="3045" width="20.1796875" style="122" bestFit="1" customWidth="1"/>
    <col min="3046" max="3046" width="21.453125" style="122" bestFit="1" customWidth="1"/>
    <col min="3047" max="3047" width="21.453125" style="122" customWidth="1"/>
    <col min="3048" max="3048" width="9.453125" style="122" bestFit="1" customWidth="1"/>
    <col min="3049" max="3050" width="8.81640625" style="122"/>
    <col min="3051" max="3051" width="11" style="122" customWidth="1"/>
    <col min="3052" max="3300" width="8.81640625" style="122"/>
    <col min="3301" max="3301" width="20.1796875" style="122" bestFit="1" customWidth="1"/>
    <col min="3302" max="3302" width="21.453125" style="122" bestFit="1" customWidth="1"/>
    <col min="3303" max="3303" width="21.453125" style="122" customWidth="1"/>
    <col min="3304" max="3304" width="9.453125" style="122" bestFit="1" customWidth="1"/>
    <col min="3305" max="3306" width="8.81640625" style="122"/>
    <col min="3307" max="3307" width="11" style="122" customWidth="1"/>
    <col min="3308" max="3556" width="8.81640625" style="122"/>
    <col min="3557" max="3557" width="20.1796875" style="122" bestFit="1" customWidth="1"/>
    <col min="3558" max="3558" width="21.453125" style="122" bestFit="1" customWidth="1"/>
    <col min="3559" max="3559" width="21.453125" style="122" customWidth="1"/>
    <col min="3560" max="3560" width="9.453125" style="122" bestFit="1" customWidth="1"/>
    <col min="3561" max="3562" width="8.81640625" style="122"/>
    <col min="3563" max="3563" width="11" style="122" customWidth="1"/>
    <col min="3564" max="3812" width="8.81640625" style="122"/>
    <col min="3813" max="3813" width="20.1796875" style="122" bestFit="1" customWidth="1"/>
    <col min="3814" max="3814" width="21.453125" style="122" bestFit="1" customWidth="1"/>
    <col min="3815" max="3815" width="21.453125" style="122" customWidth="1"/>
    <col min="3816" max="3816" width="9.453125" style="122" bestFit="1" customWidth="1"/>
    <col min="3817" max="3818" width="8.81640625" style="122"/>
    <col min="3819" max="3819" width="11" style="122" customWidth="1"/>
    <col min="3820" max="4068" width="8.81640625" style="122"/>
    <col min="4069" max="4069" width="20.1796875" style="122" bestFit="1" customWidth="1"/>
    <col min="4070" max="4070" width="21.453125" style="122" bestFit="1" customWidth="1"/>
    <col min="4071" max="4071" width="21.453125" style="122" customWidth="1"/>
    <col min="4072" max="4072" width="9.453125" style="122" bestFit="1" customWidth="1"/>
    <col min="4073" max="4074" width="8.81640625" style="122"/>
    <col min="4075" max="4075" width="11" style="122" customWidth="1"/>
    <col min="4076" max="4324" width="8.81640625" style="122"/>
    <col min="4325" max="4325" width="20.1796875" style="122" bestFit="1" customWidth="1"/>
    <col min="4326" max="4326" width="21.453125" style="122" bestFit="1" customWidth="1"/>
    <col min="4327" max="4327" width="21.453125" style="122" customWidth="1"/>
    <col min="4328" max="4328" width="9.453125" style="122" bestFit="1" customWidth="1"/>
    <col min="4329" max="4330" width="8.81640625" style="122"/>
    <col min="4331" max="4331" width="11" style="122" customWidth="1"/>
    <col min="4332" max="4580" width="8.81640625" style="122"/>
    <col min="4581" max="4581" width="20.1796875" style="122" bestFit="1" customWidth="1"/>
    <col min="4582" max="4582" width="21.453125" style="122" bestFit="1" customWidth="1"/>
    <col min="4583" max="4583" width="21.453125" style="122" customWidth="1"/>
    <col min="4584" max="4584" width="9.453125" style="122" bestFit="1" customWidth="1"/>
    <col min="4585" max="4586" width="8.81640625" style="122"/>
    <col min="4587" max="4587" width="11" style="122" customWidth="1"/>
    <col min="4588" max="4836" width="8.81640625" style="122"/>
    <col min="4837" max="4837" width="20.1796875" style="122" bestFit="1" customWidth="1"/>
    <col min="4838" max="4838" width="21.453125" style="122" bestFit="1" customWidth="1"/>
    <col min="4839" max="4839" width="21.453125" style="122" customWidth="1"/>
    <col min="4840" max="4840" width="9.453125" style="122" bestFit="1" customWidth="1"/>
    <col min="4841" max="4842" width="8.81640625" style="122"/>
    <col min="4843" max="4843" width="11" style="122" customWidth="1"/>
    <col min="4844" max="5092" width="8.81640625" style="122"/>
    <col min="5093" max="5093" width="20.1796875" style="122" bestFit="1" customWidth="1"/>
    <col min="5094" max="5094" width="21.453125" style="122" bestFit="1" customWidth="1"/>
    <col min="5095" max="5095" width="21.453125" style="122" customWidth="1"/>
    <col min="5096" max="5096" width="9.453125" style="122" bestFit="1" customWidth="1"/>
    <col min="5097" max="5098" width="8.81640625" style="122"/>
    <col min="5099" max="5099" width="11" style="122" customWidth="1"/>
    <col min="5100" max="5348" width="8.81640625" style="122"/>
    <col min="5349" max="5349" width="20.1796875" style="122" bestFit="1" customWidth="1"/>
    <col min="5350" max="5350" width="21.453125" style="122" bestFit="1" customWidth="1"/>
    <col min="5351" max="5351" width="21.453125" style="122" customWidth="1"/>
    <col min="5352" max="5352" width="9.453125" style="122" bestFit="1" customWidth="1"/>
    <col min="5353" max="5354" width="8.81640625" style="122"/>
    <col min="5355" max="5355" width="11" style="122" customWidth="1"/>
    <col min="5356" max="5604" width="8.81640625" style="122"/>
    <col min="5605" max="5605" width="20.1796875" style="122" bestFit="1" customWidth="1"/>
    <col min="5606" max="5606" width="21.453125" style="122" bestFit="1" customWidth="1"/>
    <col min="5607" max="5607" width="21.453125" style="122" customWidth="1"/>
    <col min="5608" max="5608" width="9.453125" style="122" bestFit="1" customWidth="1"/>
    <col min="5609" max="5610" width="8.81640625" style="122"/>
    <col min="5611" max="5611" width="11" style="122" customWidth="1"/>
    <col min="5612" max="5860" width="8.81640625" style="122"/>
    <col min="5861" max="5861" width="20.1796875" style="122" bestFit="1" customWidth="1"/>
    <col min="5862" max="5862" width="21.453125" style="122" bestFit="1" customWidth="1"/>
    <col min="5863" max="5863" width="21.453125" style="122" customWidth="1"/>
    <col min="5864" max="5864" width="9.453125" style="122" bestFit="1" customWidth="1"/>
    <col min="5865" max="5866" width="8.81640625" style="122"/>
    <col min="5867" max="5867" width="11" style="122" customWidth="1"/>
    <col min="5868" max="6116" width="8.81640625" style="122"/>
    <col min="6117" max="6117" width="20.1796875" style="122" bestFit="1" customWidth="1"/>
    <col min="6118" max="6118" width="21.453125" style="122" bestFit="1" customWidth="1"/>
    <col min="6119" max="6119" width="21.453125" style="122" customWidth="1"/>
    <col min="6120" max="6120" width="9.453125" style="122" bestFit="1" customWidth="1"/>
    <col min="6121" max="6122" width="8.81640625" style="122"/>
    <col min="6123" max="6123" width="11" style="122" customWidth="1"/>
    <col min="6124" max="6372" width="8.81640625" style="122"/>
    <col min="6373" max="6373" width="20.1796875" style="122" bestFit="1" customWidth="1"/>
    <col min="6374" max="6374" width="21.453125" style="122" bestFit="1" customWidth="1"/>
    <col min="6375" max="6375" width="21.453125" style="122" customWidth="1"/>
    <col min="6376" max="6376" width="9.453125" style="122" bestFit="1" customWidth="1"/>
    <col min="6377" max="6378" width="8.81640625" style="122"/>
    <col min="6379" max="6379" width="11" style="122" customWidth="1"/>
    <col min="6380" max="6628" width="8.81640625" style="122"/>
    <col min="6629" max="6629" width="20.1796875" style="122" bestFit="1" customWidth="1"/>
    <col min="6630" max="6630" width="21.453125" style="122" bestFit="1" customWidth="1"/>
    <col min="6631" max="6631" width="21.453125" style="122" customWidth="1"/>
    <col min="6632" max="6632" width="9.453125" style="122" bestFit="1" customWidth="1"/>
    <col min="6633" max="6634" width="8.81640625" style="122"/>
    <col min="6635" max="6635" width="11" style="122" customWidth="1"/>
    <col min="6636" max="6884" width="8.81640625" style="122"/>
    <col min="6885" max="6885" width="20.1796875" style="122" bestFit="1" customWidth="1"/>
    <col min="6886" max="6886" width="21.453125" style="122" bestFit="1" customWidth="1"/>
    <col min="6887" max="6887" width="21.453125" style="122" customWidth="1"/>
    <col min="6888" max="6888" width="9.453125" style="122" bestFit="1" customWidth="1"/>
    <col min="6889" max="6890" width="8.81640625" style="122"/>
    <col min="6891" max="6891" width="11" style="122" customWidth="1"/>
    <col min="6892" max="7140" width="8.81640625" style="122"/>
    <col min="7141" max="7141" width="20.1796875" style="122" bestFit="1" customWidth="1"/>
    <col min="7142" max="7142" width="21.453125" style="122" bestFit="1" customWidth="1"/>
    <col min="7143" max="7143" width="21.453125" style="122" customWidth="1"/>
    <col min="7144" max="7144" width="9.453125" style="122" bestFit="1" customWidth="1"/>
    <col min="7145" max="7146" width="8.81640625" style="122"/>
    <col min="7147" max="7147" width="11" style="122" customWidth="1"/>
    <col min="7148" max="7396" width="8.81640625" style="122"/>
    <col min="7397" max="7397" width="20.1796875" style="122" bestFit="1" customWidth="1"/>
    <col min="7398" max="7398" width="21.453125" style="122" bestFit="1" customWidth="1"/>
    <col min="7399" max="7399" width="21.453125" style="122" customWidth="1"/>
    <col min="7400" max="7400" width="9.453125" style="122" bestFit="1" customWidth="1"/>
    <col min="7401" max="7402" width="8.81640625" style="122"/>
    <col min="7403" max="7403" width="11" style="122" customWidth="1"/>
    <col min="7404" max="7652" width="8.81640625" style="122"/>
    <col min="7653" max="7653" width="20.1796875" style="122" bestFit="1" customWidth="1"/>
    <col min="7654" max="7654" width="21.453125" style="122" bestFit="1" customWidth="1"/>
    <col min="7655" max="7655" width="21.453125" style="122" customWidth="1"/>
    <col min="7656" max="7656" width="9.453125" style="122" bestFit="1" customWidth="1"/>
    <col min="7657" max="7658" width="8.81640625" style="122"/>
    <col min="7659" max="7659" width="11" style="122" customWidth="1"/>
    <col min="7660" max="7908" width="8.81640625" style="122"/>
    <col min="7909" max="7909" width="20.1796875" style="122" bestFit="1" customWidth="1"/>
    <col min="7910" max="7910" width="21.453125" style="122" bestFit="1" customWidth="1"/>
    <col min="7911" max="7911" width="21.453125" style="122" customWidth="1"/>
    <col min="7912" max="7912" width="9.453125" style="122" bestFit="1" customWidth="1"/>
    <col min="7913" max="7914" width="8.81640625" style="122"/>
    <col min="7915" max="7915" width="11" style="122" customWidth="1"/>
    <col min="7916" max="8164" width="8.81640625" style="122"/>
    <col min="8165" max="8165" width="20.1796875" style="122" bestFit="1" customWidth="1"/>
    <col min="8166" max="8166" width="21.453125" style="122" bestFit="1" customWidth="1"/>
    <col min="8167" max="8167" width="21.453125" style="122" customWidth="1"/>
    <col min="8168" max="8168" width="9.453125" style="122" bestFit="1" customWidth="1"/>
    <col min="8169" max="8170" width="8.81640625" style="122"/>
    <col min="8171" max="8171" width="11" style="122" customWidth="1"/>
    <col min="8172" max="8420" width="8.81640625" style="122"/>
    <col min="8421" max="8421" width="20.1796875" style="122" bestFit="1" customWidth="1"/>
    <col min="8422" max="8422" width="21.453125" style="122" bestFit="1" customWidth="1"/>
    <col min="8423" max="8423" width="21.453125" style="122" customWidth="1"/>
    <col min="8424" max="8424" width="9.453125" style="122" bestFit="1" customWidth="1"/>
    <col min="8425" max="8426" width="8.81640625" style="122"/>
    <col min="8427" max="8427" width="11" style="122" customWidth="1"/>
    <col min="8428" max="8676" width="8.81640625" style="122"/>
    <col min="8677" max="8677" width="20.1796875" style="122" bestFit="1" customWidth="1"/>
    <col min="8678" max="8678" width="21.453125" style="122" bestFit="1" customWidth="1"/>
    <col min="8679" max="8679" width="21.453125" style="122" customWidth="1"/>
    <col min="8680" max="8680" width="9.453125" style="122" bestFit="1" customWidth="1"/>
    <col min="8681" max="8682" width="8.81640625" style="122"/>
    <col min="8683" max="8683" width="11" style="122" customWidth="1"/>
    <col min="8684" max="8932" width="8.81640625" style="122"/>
    <col min="8933" max="8933" width="20.1796875" style="122" bestFit="1" customWidth="1"/>
    <col min="8934" max="8934" width="21.453125" style="122" bestFit="1" customWidth="1"/>
    <col min="8935" max="8935" width="21.453125" style="122" customWidth="1"/>
    <col min="8936" max="8936" width="9.453125" style="122" bestFit="1" customWidth="1"/>
    <col min="8937" max="8938" width="8.81640625" style="122"/>
    <col min="8939" max="8939" width="11" style="122" customWidth="1"/>
    <col min="8940" max="9188" width="8.81640625" style="122"/>
    <col min="9189" max="9189" width="20.1796875" style="122" bestFit="1" customWidth="1"/>
    <col min="9190" max="9190" width="21.453125" style="122" bestFit="1" customWidth="1"/>
    <col min="9191" max="9191" width="21.453125" style="122" customWidth="1"/>
    <col min="9192" max="9192" width="9.453125" style="122" bestFit="1" customWidth="1"/>
    <col min="9193" max="9194" width="8.81640625" style="122"/>
    <col min="9195" max="9195" width="11" style="122" customWidth="1"/>
    <col min="9196" max="9444" width="8.81640625" style="122"/>
    <col min="9445" max="9445" width="20.1796875" style="122" bestFit="1" customWidth="1"/>
    <col min="9446" max="9446" width="21.453125" style="122" bestFit="1" customWidth="1"/>
    <col min="9447" max="9447" width="21.453125" style="122" customWidth="1"/>
    <col min="9448" max="9448" width="9.453125" style="122" bestFit="1" customWidth="1"/>
    <col min="9449" max="9450" width="8.81640625" style="122"/>
    <col min="9451" max="9451" width="11" style="122" customWidth="1"/>
    <col min="9452" max="9700" width="8.81640625" style="122"/>
    <col min="9701" max="9701" width="20.1796875" style="122" bestFit="1" customWidth="1"/>
    <col min="9702" max="9702" width="21.453125" style="122" bestFit="1" customWidth="1"/>
    <col min="9703" max="9703" width="21.453125" style="122" customWidth="1"/>
    <col min="9704" max="9704" width="9.453125" style="122" bestFit="1" customWidth="1"/>
    <col min="9705" max="9706" width="8.81640625" style="122"/>
    <col min="9707" max="9707" width="11" style="122" customWidth="1"/>
    <col min="9708" max="9956" width="8.81640625" style="122"/>
    <col min="9957" max="9957" width="20.1796875" style="122" bestFit="1" customWidth="1"/>
    <col min="9958" max="9958" width="21.453125" style="122" bestFit="1" customWidth="1"/>
    <col min="9959" max="9959" width="21.453125" style="122" customWidth="1"/>
    <col min="9960" max="9960" width="9.453125" style="122" bestFit="1" customWidth="1"/>
    <col min="9961" max="9962" width="8.81640625" style="122"/>
    <col min="9963" max="9963" width="11" style="122" customWidth="1"/>
    <col min="9964" max="10212" width="8.81640625" style="122"/>
    <col min="10213" max="10213" width="20.1796875" style="122" bestFit="1" customWidth="1"/>
    <col min="10214" max="10214" width="21.453125" style="122" bestFit="1" customWidth="1"/>
    <col min="10215" max="10215" width="21.453125" style="122" customWidth="1"/>
    <col min="10216" max="10216" width="9.453125" style="122" bestFit="1" customWidth="1"/>
    <col min="10217" max="10218" width="8.81640625" style="122"/>
    <col min="10219" max="10219" width="11" style="122" customWidth="1"/>
    <col min="10220" max="10468" width="8.81640625" style="122"/>
    <col min="10469" max="10469" width="20.1796875" style="122" bestFit="1" customWidth="1"/>
    <col min="10470" max="10470" width="21.453125" style="122" bestFit="1" customWidth="1"/>
    <col min="10471" max="10471" width="21.453125" style="122" customWidth="1"/>
    <col min="10472" max="10472" width="9.453125" style="122" bestFit="1" customWidth="1"/>
    <col min="10473" max="10474" width="8.81640625" style="122"/>
    <col min="10475" max="10475" width="11" style="122" customWidth="1"/>
    <col min="10476" max="10724" width="8.81640625" style="122"/>
    <col min="10725" max="10725" width="20.1796875" style="122" bestFit="1" customWidth="1"/>
    <col min="10726" max="10726" width="21.453125" style="122" bestFit="1" customWidth="1"/>
    <col min="10727" max="10727" width="21.453125" style="122" customWidth="1"/>
    <col min="10728" max="10728" width="9.453125" style="122" bestFit="1" customWidth="1"/>
    <col min="10729" max="10730" width="8.81640625" style="122"/>
    <col min="10731" max="10731" width="11" style="122" customWidth="1"/>
    <col min="10732" max="10980" width="8.81640625" style="122"/>
    <col min="10981" max="10981" width="20.1796875" style="122" bestFit="1" customWidth="1"/>
    <col min="10982" max="10982" width="21.453125" style="122" bestFit="1" customWidth="1"/>
    <col min="10983" max="10983" width="21.453125" style="122" customWidth="1"/>
    <col min="10984" max="10984" width="9.453125" style="122" bestFit="1" customWidth="1"/>
    <col min="10985" max="10986" width="8.81640625" style="122"/>
    <col min="10987" max="10987" width="11" style="122" customWidth="1"/>
    <col min="10988" max="11236" width="8.81640625" style="122"/>
    <col min="11237" max="11237" width="20.1796875" style="122" bestFit="1" customWidth="1"/>
    <col min="11238" max="11238" width="21.453125" style="122" bestFit="1" customWidth="1"/>
    <col min="11239" max="11239" width="21.453125" style="122" customWidth="1"/>
    <col min="11240" max="11240" width="9.453125" style="122" bestFit="1" customWidth="1"/>
    <col min="11241" max="11242" width="8.81640625" style="122"/>
    <col min="11243" max="11243" width="11" style="122" customWidth="1"/>
    <col min="11244" max="11492" width="8.81640625" style="122"/>
    <col min="11493" max="11493" width="20.1796875" style="122" bestFit="1" customWidth="1"/>
    <col min="11494" max="11494" width="21.453125" style="122" bestFit="1" customWidth="1"/>
    <col min="11495" max="11495" width="21.453125" style="122" customWidth="1"/>
    <col min="11496" max="11496" width="9.453125" style="122" bestFit="1" customWidth="1"/>
    <col min="11497" max="11498" width="8.81640625" style="122"/>
    <col min="11499" max="11499" width="11" style="122" customWidth="1"/>
    <col min="11500" max="11748" width="8.81640625" style="122"/>
    <col min="11749" max="11749" width="20.1796875" style="122" bestFit="1" customWidth="1"/>
    <col min="11750" max="11750" width="21.453125" style="122" bestFit="1" customWidth="1"/>
    <col min="11751" max="11751" width="21.453125" style="122" customWidth="1"/>
    <col min="11752" max="11752" width="9.453125" style="122" bestFit="1" customWidth="1"/>
    <col min="11753" max="11754" width="8.81640625" style="122"/>
    <col min="11755" max="11755" width="11" style="122" customWidth="1"/>
    <col min="11756" max="12004" width="8.81640625" style="122"/>
    <col min="12005" max="12005" width="20.1796875" style="122" bestFit="1" customWidth="1"/>
    <col min="12006" max="12006" width="21.453125" style="122" bestFit="1" customWidth="1"/>
    <col min="12007" max="12007" width="21.453125" style="122" customWidth="1"/>
    <col min="12008" max="12008" width="9.453125" style="122" bestFit="1" customWidth="1"/>
    <col min="12009" max="12010" width="8.81640625" style="122"/>
    <col min="12011" max="12011" width="11" style="122" customWidth="1"/>
    <col min="12012" max="12260" width="8.81640625" style="122"/>
    <col min="12261" max="12261" width="20.1796875" style="122" bestFit="1" customWidth="1"/>
    <col min="12262" max="12262" width="21.453125" style="122" bestFit="1" customWidth="1"/>
    <col min="12263" max="12263" width="21.453125" style="122" customWidth="1"/>
    <col min="12264" max="12264" width="9.453125" style="122" bestFit="1" customWidth="1"/>
    <col min="12265" max="12266" width="8.81640625" style="122"/>
    <col min="12267" max="12267" width="11" style="122" customWidth="1"/>
    <col min="12268" max="12516" width="8.81640625" style="122"/>
    <col min="12517" max="12517" width="20.1796875" style="122" bestFit="1" customWidth="1"/>
    <col min="12518" max="12518" width="21.453125" style="122" bestFit="1" customWidth="1"/>
    <col min="12519" max="12519" width="21.453125" style="122" customWidth="1"/>
    <col min="12520" max="12520" width="9.453125" style="122" bestFit="1" customWidth="1"/>
    <col min="12521" max="12522" width="8.81640625" style="122"/>
    <col min="12523" max="12523" width="11" style="122" customWidth="1"/>
    <col min="12524" max="12772" width="8.81640625" style="122"/>
    <col min="12773" max="12773" width="20.1796875" style="122" bestFit="1" customWidth="1"/>
    <col min="12774" max="12774" width="21.453125" style="122" bestFit="1" customWidth="1"/>
    <col min="12775" max="12775" width="21.453125" style="122" customWidth="1"/>
    <col min="12776" max="12776" width="9.453125" style="122" bestFit="1" customWidth="1"/>
    <col min="12777" max="12778" width="8.81640625" style="122"/>
    <col min="12779" max="12779" width="11" style="122" customWidth="1"/>
    <col min="12780" max="13028" width="8.81640625" style="122"/>
    <col min="13029" max="13029" width="20.1796875" style="122" bestFit="1" customWidth="1"/>
    <col min="13030" max="13030" width="21.453125" style="122" bestFit="1" customWidth="1"/>
    <col min="13031" max="13031" width="21.453125" style="122" customWidth="1"/>
    <col min="13032" max="13032" width="9.453125" style="122" bestFit="1" customWidth="1"/>
    <col min="13033" max="13034" width="8.81640625" style="122"/>
    <col min="13035" max="13035" width="11" style="122" customWidth="1"/>
    <col min="13036" max="13284" width="8.81640625" style="122"/>
    <col min="13285" max="13285" width="20.1796875" style="122" bestFit="1" customWidth="1"/>
    <col min="13286" max="13286" width="21.453125" style="122" bestFit="1" customWidth="1"/>
    <col min="13287" max="13287" width="21.453125" style="122" customWidth="1"/>
    <col min="13288" max="13288" width="9.453125" style="122" bestFit="1" customWidth="1"/>
    <col min="13289" max="13290" width="8.81640625" style="122"/>
    <col min="13291" max="13291" width="11" style="122" customWidth="1"/>
    <col min="13292" max="13540" width="8.81640625" style="122"/>
    <col min="13541" max="13541" width="20.1796875" style="122" bestFit="1" customWidth="1"/>
    <col min="13542" max="13542" width="21.453125" style="122" bestFit="1" customWidth="1"/>
    <col min="13543" max="13543" width="21.453125" style="122" customWidth="1"/>
    <col min="13544" max="13544" width="9.453125" style="122" bestFit="1" customWidth="1"/>
    <col min="13545" max="13546" width="8.81640625" style="122"/>
    <col min="13547" max="13547" width="11" style="122" customWidth="1"/>
    <col min="13548" max="13796" width="8.81640625" style="122"/>
    <col min="13797" max="13797" width="20.1796875" style="122" bestFit="1" customWidth="1"/>
    <col min="13798" max="13798" width="21.453125" style="122" bestFit="1" customWidth="1"/>
    <col min="13799" max="13799" width="21.453125" style="122" customWidth="1"/>
    <col min="13800" max="13800" width="9.453125" style="122" bestFit="1" customWidth="1"/>
    <col min="13801" max="13802" width="8.81640625" style="122"/>
    <col min="13803" max="13803" width="11" style="122" customWidth="1"/>
    <col min="13804" max="14052" width="8.81640625" style="122"/>
    <col min="14053" max="14053" width="20.1796875" style="122" bestFit="1" customWidth="1"/>
    <col min="14054" max="14054" width="21.453125" style="122" bestFit="1" customWidth="1"/>
    <col min="14055" max="14055" width="21.453125" style="122" customWidth="1"/>
    <col min="14056" max="14056" width="9.453125" style="122" bestFit="1" customWidth="1"/>
    <col min="14057" max="14058" width="8.81640625" style="122"/>
    <col min="14059" max="14059" width="11" style="122" customWidth="1"/>
    <col min="14060" max="14308" width="8.81640625" style="122"/>
    <col min="14309" max="14309" width="20.1796875" style="122" bestFit="1" customWidth="1"/>
    <col min="14310" max="14310" width="21.453125" style="122" bestFit="1" customWidth="1"/>
    <col min="14311" max="14311" width="21.453125" style="122" customWidth="1"/>
    <col min="14312" max="14312" width="9.453125" style="122" bestFit="1" customWidth="1"/>
    <col min="14313" max="14314" width="8.81640625" style="122"/>
    <col min="14315" max="14315" width="11" style="122" customWidth="1"/>
    <col min="14316" max="14564" width="8.81640625" style="122"/>
    <col min="14565" max="14565" width="20.1796875" style="122" bestFit="1" customWidth="1"/>
    <col min="14566" max="14566" width="21.453125" style="122" bestFit="1" customWidth="1"/>
    <col min="14567" max="14567" width="21.453125" style="122" customWidth="1"/>
    <col min="14568" max="14568" width="9.453125" style="122" bestFit="1" customWidth="1"/>
    <col min="14569" max="14570" width="8.81640625" style="122"/>
    <col min="14571" max="14571" width="11" style="122" customWidth="1"/>
    <col min="14572" max="14820" width="8.81640625" style="122"/>
    <col min="14821" max="14821" width="20.1796875" style="122" bestFit="1" customWidth="1"/>
    <col min="14822" max="14822" width="21.453125" style="122" bestFit="1" customWidth="1"/>
    <col min="14823" max="14823" width="21.453125" style="122" customWidth="1"/>
    <col min="14824" max="14824" width="9.453125" style="122" bestFit="1" customWidth="1"/>
    <col min="14825" max="14826" width="8.81640625" style="122"/>
    <col min="14827" max="14827" width="11" style="122" customWidth="1"/>
    <col min="14828" max="15076" width="8.81640625" style="122"/>
    <col min="15077" max="15077" width="20.1796875" style="122" bestFit="1" customWidth="1"/>
    <col min="15078" max="15078" width="21.453125" style="122" bestFit="1" customWidth="1"/>
    <col min="15079" max="15079" width="21.453125" style="122" customWidth="1"/>
    <col min="15080" max="15080" width="9.453125" style="122" bestFit="1" customWidth="1"/>
    <col min="15081" max="15082" width="8.81640625" style="122"/>
    <col min="15083" max="15083" width="11" style="122" customWidth="1"/>
    <col min="15084" max="15332" width="8.81640625" style="122"/>
    <col min="15333" max="15333" width="20.1796875" style="122" bestFit="1" customWidth="1"/>
    <col min="15334" max="15334" width="21.453125" style="122" bestFit="1" customWidth="1"/>
    <col min="15335" max="15335" width="21.453125" style="122" customWidth="1"/>
    <col min="15336" max="15336" width="9.453125" style="122" bestFit="1" customWidth="1"/>
    <col min="15337" max="15338" width="8.81640625" style="122"/>
    <col min="15339" max="15339" width="11" style="122" customWidth="1"/>
    <col min="15340" max="15588" width="8.81640625" style="122"/>
    <col min="15589" max="15589" width="20.1796875" style="122" bestFit="1" customWidth="1"/>
    <col min="15590" max="15590" width="21.453125" style="122" bestFit="1" customWidth="1"/>
    <col min="15591" max="15591" width="21.453125" style="122" customWidth="1"/>
    <col min="15592" max="15592" width="9.453125" style="122" bestFit="1" customWidth="1"/>
    <col min="15593" max="15594" width="8.81640625" style="122"/>
    <col min="15595" max="15595" width="11" style="122" customWidth="1"/>
    <col min="15596" max="15844" width="8.81640625" style="122"/>
    <col min="15845" max="15845" width="20.1796875" style="122" bestFit="1" customWidth="1"/>
    <col min="15846" max="15846" width="21.453125" style="122" bestFit="1" customWidth="1"/>
    <col min="15847" max="15847" width="21.453125" style="122" customWidth="1"/>
    <col min="15848" max="15848" width="9.453125" style="122" bestFit="1" customWidth="1"/>
    <col min="15849" max="15850" width="8.81640625" style="122"/>
    <col min="15851" max="15851" width="11" style="122" customWidth="1"/>
    <col min="15852" max="16100" width="8.81640625" style="122"/>
    <col min="16101" max="16101" width="20.1796875" style="122" bestFit="1" customWidth="1"/>
    <col min="16102" max="16102" width="21.453125" style="122" bestFit="1" customWidth="1"/>
    <col min="16103" max="16103" width="21.453125" style="122" customWidth="1"/>
    <col min="16104" max="16104" width="9.453125" style="122" bestFit="1" customWidth="1"/>
    <col min="16105" max="16106" width="8.81640625" style="122"/>
    <col min="16107" max="16107" width="11" style="122" customWidth="1"/>
    <col min="16108" max="16384" width="8.81640625" style="122"/>
  </cols>
  <sheetData>
    <row r="1" spans="1:30" s="81" customFormat="1" ht="18" customHeight="1" thickBot="1">
      <c r="A1" s="70" t="s">
        <v>241</v>
      </c>
      <c r="B1" s="71"/>
      <c r="C1" s="72"/>
      <c r="D1" s="73"/>
      <c r="E1" s="73"/>
      <c r="F1" s="74"/>
      <c r="G1" s="75"/>
      <c r="H1" s="70" t="s">
        <v>242</v>
      </c>
      <c r="I1" s="71"/>
      <c r="J1" s="72"/>
      <c r="K1" s="73"/>
      <c r="L1" s="73"/>
      <c r="M1" s="74"/>
      <c r="N1" s="75"/>
      <c r="O1" s="76" t="s">
        <v>243</v>
      </c>
      <c r="P1" s="77"/>
      <c r="Q1" s="78"/>
      <c r="R1" s="79"/>
      <c r="S1" s="79"/>
      <c r="T1" s="80"/>
      <c r="U1" s="75"/>
      <c r="V1" s="76" t="s">
        <v>244</v>
      </c>
      <c r="W1" s="77"/>
      <c r="X1" s="78"/>
      <c r="Y1" s="79"/>
      <c r="Z1" s="79"/>
      <c r="AA1" s="80"/>
      <c r="AB1" s="75"/>
    </row>
    <row r="2" spans="1:30" s="88" customFormat="1" ht="21">
      <c r="A2" s="82" t="s">
        <v>245</v>
      </c>
      <c r="B2" s="83" t="s">
        <v>246</v>
      </c>
      <c r="C2" s="84" t="s">
        <v>247</v>
      </c>
      <c r="D2" s="84" t="s">
        <v>248</v>
      </c>
      <c r="E2" s="85" t="s">
        <v>249</v>
      </c>
      <c r="F2" s="86" t="s">
        <v>250</v>
      </c>
      <c r="G2" s="87"/>
      <c r="H2" s="82" t="s">
        <v>245</v>
      </c>
      <c r="I2" s="83" t="s">
        <v>246</v>
      </c>
      <c r="J2" s="84" t="s">
        <v>247</v>
      </c>
      <c r="K2" s="84" t="s">
        <v>251</v>
      </c>
      <c r="L2" s="85" t="s">
        <v>249</v>
      </c>
      <c r="M2" s="86" t="s">
        <v>250</v>
      </c>
      <c r="N2" s="87"/>
      <c r="O2" s="82" t="s">
        <v>245</v>
      </c>
      <c r="P2" s="83" t="s">
        <v>246</v>
      </c>
      <c r="Q2" s="84" t="s">
        <v>247</v>
      </c>
      <c r="R2" s="84" t="s">
        <v>251</v>
      </c>
      <c r="S2" s="85" t="s">
        <v>249</v>
      </c>
      <c r="T2" s="86" t="s">
        <v>250</v>
      </c>
      <c r="U2" s="87"/>
      <c r="V2" s="82" t="s">
        <v>245</v>
      </c>
      <c r="W2" s="83" t="s">
        <v>246</v>
      </c>
      <c r="X2" s="84" t="s">
        <v>247</v>
      </c>
      <c r="Y2" s="84" t="s">
        <v>251</v>
      </c>
      <c r="Z2" s="85" t="s">
        <v>249</v>
      </c>
      <c r="AA2" s="86" t="s">
        <v>250</v>
      </c>
      <c r="AB2" s="87"/>
    </row>
    <row r="3" spans="1:30" s="88" customFormat="1" ht="12" customHeight="1">
      <c r="A3" s="413" t="s">
        <v>252</v>
      </c>
      <c r="B3" s="89" t="s">
        <v>253</v>
      </c>
      <c r="C3" s="90">
        <v>5</v>
      </c>
      <c r="D3" s="91">
        <v>1</v>
      </c>
      <c r="E3" s="92">
        <v>2000</v>
      </c>
      <c r="F3" s="93">
        <f t="shared" ref="F3:F8" si="0">C3*D3*E3</f>
        <v>10000</v>
      </c>
      <c r="G3" s="412"/>
      <c r="H3" s="94"/>
      <c r="I3" s="89"/>
      <c r="J3" s="90"/>
      <c r="K3" s="91"/>
      <c r="L3" s="92"/>
      <c r="M3" s="93">
        <f>J3*K3*L3</f>
        <v>0</v>
      </c>
      <c r="N3" s="412"/>
      <c r="O3" s="95" t="s">
        <v>254</v>
      </c>
      <c r="P3" s="89" t="s">
        <v>255</v>
      </c>
      <c r="Q3" s="90">
        <v>1</v>
      </c>
      <c r="R3" s="91">
        <v>1</v>
      </c>
      <c r="S3" s="92">
        <v>206700</v>
      </c>
      <c r="T3" s="93">
        <f>Q3*R3*S3</f>
        <v>206700</v>
      </c>
      <c r="U3" s="412"/>
      <c r="V3" s="96" t="s">
        <v>128</v>
      </c>
      <c r="W3" s="89"/>
      <c r="X3" s="90"/>
      <c r="Y3" s="91"/>
      <c r="Z3" s="92"/>
      <c r="AA3" s="93">
        <f>X3*Y3*Z3</f>
        <v>0</v>
      </c>
      <c r="AB3" s="412"/>
    </row>
    <row r="4" spans="1:30" s="88" customFormat="1" ht="11.25" customHeight="1">
      <c r="A4" s="414"/>
      <c r="B4" s="89" t="s">
        <v>256</v>
      </c>
      <c r="C4" s="90">
        <v>40</v>
      </c>
      <c r="D4" s="91">
        <v>1.5</v>
      </c>
      <c r="E4" s="92">
        <v>400</v>
      </c>
      <c r="F4" s="93">
        <f t="shared" si="0"/>
        <v>24000</v>
      </c>
      <c r="G4" s="97"/>
      <c r="H4" s="437"/>
      <c r="I4" s="89"/>
      <c r="J4" s="90"/>
      <c r="K4" s="91"/>
      <c r="L4" s="92"/>
      <c r="M4" s="93">
        <f t="shared" ref="M4:M8" si="1">J4*K4*L4</f>
        <v>0</v>
      </c>
      <c r="N4" s="97"/>
      <c r="O4" s="434"/>
      <c r="P4" s="89" t="s">
        <v>229</v>
      </c>
      <c r="Q4" s="90">
        <v>1</v>
      </c>
      <c r="R4" s="91">
        <v>1</v>
      </c>
      <c r="S4" s="92">
        <v>285600</v>
      </c>
      <c r="T4" s="93">
        <f t="shared" ref="T4:T8" si="2">Q4*R4*S4</f>
        <v>285600</v>
      </c>
      <c r="U4" s="97"/>
      <c r="V4" s="98"/>
      <c r="W4" s="89"/>
      <c r="X4" s="90"/>
      <c r="Y4" s="91"/>
      <c r="Z4" s="92"/>
      <c r="AA4" s="93">
        <f t="shared" ref="AA4:AA8" si="3">X4*Y4*Z4</f>
        <v>0</v>
      </c>
      <c r="AB4" s="97"/>
    </row>
    <row r="5" spans="1:30" s="88" customFormat="1" ht="11.25" customHeight="1">
      <c r="A5" s="99"/>
      <c r="B5" s="89" t="s">
        <v>257</v>
      </c>
      <c r="C5" s="90">
        <v>50</v>
      </c>
      <c r="D5" s="91">
        <v>1.5</v>
      </c>
      <c r="E5" s="92">
        <v>300</v>
      </c>
      <c r="F5" s="93">
        <f t="shared" si="0"/>
        <v>22500</v>
      </c>
      <c r="G5" s="97"/>
      <c r="H5" s="437"/>
      <c r="I5" s="89"/>
      <c r="J5" s="90"/>
      <c r="K5" s="91"/>
      <c r="L5" s="92"/>
      <c r="M5" s="93">
        <f t="shared" si="1"/>
        <v>0</v>
      </c>
      <c r="N5" s="97"/>
      <c r="O5" s="437"/>
      <c r="P5" s="89" t="s">
        <v>258</v>
      </c>
      <c r="Q5" s="90">
        <v>6</v>
      </c>
      <c r="R5" s="91">
        <v>1</v>
      </c>
      <c r="S5" s="92">
        <v>32639</v>
      </c>
      <c r="T5" s="93">
        <f t="shared" si="2"/>
        <v>195834</v>
      </c>
      <c r="U5" s="97"/>
      <c r="V5" s="98"/>
      <c r="W5" s="89"/>
      <c r="X5" s="90"/>
      <c r="Y5" s="91"/>
      <c r="Z5" s="92"/>
      <c r="AA5" s="93">
        <f t="shared" si="3"/>
        <v>0</v>
      </c>
      <c r="AB5" s="97"/>
    </row>
    <row r="6" spans="1:30" s="88" customFormat="1" ht="12" customHeight="1">
      <c r="A6" s="99"/>
      <c r="B6" s="100" t="s">
        <v>259</v>
      </c>
      <c r="C6" s="101">
        <v>5</v>
      </c>
      <c r="D6" s="91">
        <v>1.5</v>
      </c>
      <c r="E6" s="91">
        <v>100</v>
      </c>
      <c r="F6" s="93">
        <f t="shared" si="0"/>
        <v>750</v>
      </c>
      <c r="G6" s="102"/>
      <c r="H6" s="438"/>
      <c r="I6" s="100"/>
      <c r="J6" s="101"/>
      <c r="K6" s="91"/>
      <c r="L6" s="91"/>
      <c r="M6" s="93">
        <f t="shared" si="1"/>
        <v>0</v>
      </c>
      <c r="N6" s="102"/>
      <c r="O6" s="437"/>
      <c r="P6" s="100" t="s">
        <v>260</v>
      </c>
      <c r="Q6" s="101">
        <v>1</v>
      </c>
      <c r="R6" s="91">
        <v>1</v>
      </c>
      <c r="S6" s="91">
        <v>71400</v>
      </c>
      <c r="T6" s="93">
        <f t="shared" si="2"/>
        <v>71400</v>
      </c>
      <c r="U6" s="102"/>
      <c r="V6" s="98"/>
      <c r="W6" s="100"/>
      <c r="X6" s="101"/>
      <c r="Y6" s="91"/>
      <c r="Z6" s="91"/>
      <c r="AA6" s="93">
        <f t="shared" si="3"/>
        <v>0</v>
      </c>
      <c r="AB6" s="102"/>
    </row>
    <row r="7" spans="1:30" s="88" customFormat="1" ht="12" customHeight="1">
      <c r="A7" s="98"/>
      <c r="B7" s="100"/>
      <c r="C7" s="101"/>
      <c r="D7" s="91"/>
      <c r="E7" s="91"/>
      <c r="F7" s="93">
        <f t="shared" si="0"/>
        <v>0</v>
      </c>
      <c r="G7" s="103"/>
      <c r="H7" s="104"/>
      <c r="I7" s="100"/>
      <c r="J7" s="101"/>
      <c r="K7" s="91"/>
      <c r="L7" s="91"/>
      <c r="M7" s="93">
        <f t="shared" si="1"/>
        <v>0</v>
      </c>
      <c r="N7" s="103"/>
      <c r="O7" s="98"/>
      <c r="P7" s="100"/>
      <c r="Q7" s="101"/>
      <c r="R7" s="91"/>
      <c r="S7" s="91"/>
      <c r="T7" s="93">
        <f t="shared" si="2"/>
        <v>0</v>
      </c>
      <c r="U7" s="103"/>
      <c r="V7" s="98"/>
      <c r="W7" s="100"/>
      <c r="X7" s="101"/>
      <c r="Y7" s="91"/>
      <c r="Z7" s="91"/>
      <c r="AA7" s="93">
        <f t="shared" si="3"/>
        <v>0</v>
      </c>
      <c r="AB7" s="103"/>
    </row>
    <row r="8" spans="1:30" s="88" customFormat="1" ht="12" customHeight="1">
      <c r="A8" s="105"/>
      <c r="B8" s="100"/>
      <c r="C8" s="101"/>
      <c r="D8" s="91"/>
      <c r="E8" s="91"/>
      <c r="F8" s="93">
        <f t="shared" si="0"/>
        <v>0</v>
      </c>
      <c r="G8" s="103"/>
      <c r="H8" s="104"/>
      <c r="I8" s="100"/>
      <c r="J8" s="101"/>
      <c r="K8" s="91"/>
      <c r="L8" s="91"/>
      <c r="M8" s="93">
        <f t="shared" si="1"/>
        <v>0</v>
      </c>
      <c r="N8" s="103"/>
      <c r="O8" s="105"/>
      <c r="P8" s="100"/>
      <c r="Q8" s="101"/>
      <c r="R8" s="91"/>
      <c r="S8" s="91"/>
      <c r="T8" s="93">
        <f t="shared" si="2"/>
        <v>0</v>
      </c>
      <c r="U8" s="103"/>
      <c r="V8" s="98"/>
      <c r="W8" s="100"/>
      <c r="X8" s="101"/>
      <c r="Y8" s="91"/>
      <c r="Z8" s="91"/>
      <c r="AA8" s="93">
        <f t="shared" si="3"/>
        <v>0</v>
      </c>
      <c r="AB8" s="103"/>
    </row>
    <row r="9" spans="1:30" s="88" customFormat="1">
      <c r="A9" s="106" t="s">
        <v>261</v>
      </c>
      <c r="B9" s="107"/>
      <c r="C9" s="108"/>
      <c r="D9" s="109"/>
      <c r="E9" s="110"/>
      <c r="F9" s="111">
        <f>SUM(F3:F6)</f>
        <v>57250</v>
      </c>
      <c r="G9" s="112"/>
      <c r="H9" s="113" t="s">
        <v>261</v>
      </c>
      <c r="I9" s="107"/>
      <c r="J9" s="108"/>
      <c r="K9" s="109"/>
      <c r="L9" s="110"/>
      <c r="M9" s="111">
        <f>SUM(M3:M6)</f>
        <v>0</v>
      </c>
      <c r="N9" s="112"/>
      <c r="O9" s="113" t="s">
        <v>261</v>
      </c>
      <c r="P9" s="107"/>
      <c r="Q9" s="108"/>
      <c r="R9" s="109"/>
      <c r="S9" s="110"/>
      <c r="T9" s="111">
        <f>SUM(T3:T6)</f>
        <v>759534</v>
      </c>
      <c r="U9" s="112"/>
      <c r="V9" s="105"/>
      <c r="W9" s="107"/>
      <c r="X9" s="108"/>
      <c r="Y9" s="109"/>
      <c r="Z9" s="110"/>
      <c r="AA9" s="111">
        <f>SUM(AA3:AA6)</f>
        <v>0</v>
      </c>
      <c r="AB9" s="112"/>
    </row>
    <row r="10" spans="1:30" s="88" customFormat="1" ht="11.25" customHeight="1">
      <c r="A10" s="114" t="s">
        <v>262</v>
      </c>
      <c r="B10" s="89" t="s">
        <v>263</v>
      </c>
      <c r="C10" s="90">
        <v>2</v>
      </c>
      <c r="D10" s="91">
        <v>15</v>
      </c>
      <c r="E10" s="92">
        <v>500</v>
      </c>
      <c r="F10" s="93">
        <f t="shared" ref="F10:F16" si="4">C10*D10*E10</f>
        <v>15000</v>
      </c>
      <c r="G10" s="412"/>
      <c r="H10" s="115"/>
      <c r="I10" s="89"/>
      <c r="J10" s="90"/>
      <c r="K10" s="91"/>
      <c r="L10" s="92"/>
      <c r="M10" s="93">
        <f t="shared" ref="M10:M16" si="5">J10*K10*L10</f>
        <v>0</v>
      </c>
      <c r="N10" s="412"/>
      <c r="O10" s="96"/>
      <c r="P10" s="89"/>
      <c r="Q10" s="90"/>
      <c r="R10" s="91"/>
      <c r="S10" s="92"/>
      <c r="T10" s="93">
        <f t="shared" ref="T10:T16" si="6">Q10*R10*S10</f>
        <v>0</v>
      </c>
      <c r="U10" s="412"/>
      <c r="V10" s="116" t="s">
        <v>261</v>
      </c>
      <c r="W10" s="89"/>
      <c r="X10" s="90"/>
      <c r="Y10" s="91"/>
      <c r="Z10" s="92"/>
      <c r="AA10" s="93">
        <f t="shared" ref="AA10:AA14" si="7">X10*Y10*Z10</f>
        <v>0</v>
      </c>
      <c r="AB10" s="412"/>
    </row>
    <row r="11" spans="1:30" s="88" customFormat="1" ht="11.25" customHeight="1">
      <c r="A11" s="437"/>
      <c r="B11" s="89" t="s">
        <v>256</v>
      </c>
      <c r="C11" s="90">
        <v>5</v>
      </c>
      <c r="D11" s="91">
        <v>30</v>
      </c>
      <c r="E11" s="92">
        <v>600</v>
      </c>
      <c r="F11" s="93">
        <f t="shared" si="4"/>
        <v>90000</v>
      </c>
      <c r="G11" s="97"/>
      <c r="H11" s="437"/>
      <c r="I11" s="89"/>
      <c r="J11" s="90"/>
      <c r="K11" s="91"/>
      <c r="L11" s="92"/>
      <c r="M11" s="93">
        <f t="shared" si="5"/>
        <v>0</v>
      </c>
      <c r="N11" s="97"/>
      <c r="O11" s="437"/>
      <c r="P11" s="89"/>
      <c r="Q11" s="90"/>
      <c r="R11" s="91"/>
      <c r="S11" s="92"/>
      <c r="T11" s="93">
        <f t="shared" si="6"/>
        <v>0</v>
      </c>
      <c r="U11" s="97"/>
      <c r="V11" s="96" t="s">
        <v>264</v>
      </c>
      <c r="W11" s="89" t="s">
        <v>253</v>
      </c>
      <c r="X11" s="90">
        <v>1</v>
      </c>
      <c r="Y11" s="91">
        <v>2</v>
      </c>
      <c r="Z11" s="92">
        <v>5000</v>
      </c>
      <c r="AA11" s="93">
        <f t="shared" si="7"/>
        <v>10000</v>
      </c>
      <c r="AB11" s="97"/>
    </row>
    <row r="12" spans="1:30" s="88" customFormat="1" ht="11.25" customHeight="1">
      <c r="A12" s="437"/>
      <c r="B12" s="89" t="s">
        <v>265</v>
      </c>
      <c r="C12" s="90">
        <v>5</v>
      </c>
      <c r="D12" s="91">
        <v>1</v>
      </c>
      <c r="E12" s="92">
        <v>1000</v>
      </c>
      <c r="F12" s="93">
        <f t="shared" si="4"/>
        <v>5000</v>
      </c>
      <c r="G12" s="97"/>
      <c r="H12" s="437"/>
      <c r="I12" s="89"/>
      <c r="J12" s="90"/>
      <c r="K12" s="91"/>
      <c r="L12" s="92"/>
      <c r="M12" s="93">
        <f t="shared" si="5"/>
        <v>0</v>
      </c>
      <c r="N12" s="97"/>
      <c r="O12" s="437"/>
      <c r="P12" s="89"/>
      <c r="Q12" s="90"/>
      <c r="R12" s="91"/>
      <c r="S12" s="92"/>
      <c r="T12" s="93">
        <f t="shared" si="6"/>
        <v>0</v>
      </c>
      <c r="U12" s="97"/>
      <c r="V12" s="117"/>
      <c r="W12" s="89" t="s">
        <v>256</v>
      </c>
      <c r="X12" s="90">
        <v>14</v>
      </c>
      <c r="Y12" s="91">
        <v>4</v>
      </c>
      <c r="Z12" s="92">
        <v>400</v>
      </c>
      <c r="AA12" s="93">
        <f t="shared" si="7"/>
        <v>22400</v>
      </c>
      <c r="AB12" s="97"/>
    </row>
    <row r="13" spans="1:30" s="88" customFormat="1" ht="11.25" customHeight="1">
      <c r="A13" s="437"/>
      <c r="B13" s="89" t="s">
        <v>266</v>
      </c>
      <c r="C13" s="90">
        <v>6</v>
      </c>
      <c r="D13" s="91">
        <v>30</v>
      </c>
      <c r="E13" s="92">
        <v>100</v>
      </c>
      <c r="F13" s="93">
        <f t="shared" si="4"/>
        <v>18000</v>
      </c>
      <c r="G13" s="97"/>
      <c r="H13" s="437"/>
      <c r="I13" s="89"/>
      <c r="J13" s="90"/>
      <c r="K13" s="91"/>
      <c r="L13" s="92"/>
      <c r="M13" s="93">
        <f t="shared" si="5"/>
        <v>0</v>
      </c>
      <c r="N13" s="97"/>
      <c r="O13" s="437"/>
      <c r="P13" s="89"/>
      <c r="Q13" s="90"/>
      <c r="R13" s="91"/>
      <c r="S13" s="92"/>
      <c r="T13" s="93">
        <f t="shared" si="6"/>
        <v>0</v>
      </c>
      <c r="U13" s="97"/>
      <c r="V13" s="117"/>
      <c r="W13" s="89" t="s">
        <v>257</v>
      </c>
      <c r="X13" s="90">
        <v>14</v>
      </c>
      <c r="Y13" s="91">
        <v>4</v>
      </c>
      <c r="Z13" s="92">
        <v>300</v>
      </c>
      <c r="AA13" s="93">
        <f t="shared" si="7"/>
        <v>16800</v>
      </c>
      <c r="AB13" s="97"/>
    </row>
    <row r="14" spans="1:30" s="88" customFormat="1" ht="11.25" customHeight="1">
      <c r="A14" s="437"/>
      <c r="B14" s="89" t="s">
        <v>257</v>
      </c>
      <c r="C14" s="90">
        <v>6</v>
      </c>
      <c r="D14" s="91">
        <v>30</v>
      </c>
      <c r="E14" s="92">
        <v>100</v>
      </c>
      <c r="F14" s="93">
        <f t="shared" si="4"/>
        <v>18000</v>
      </c>
      <c r="G14" s="97"/>
      <c r="H14" s="437"/>
      <c r="I14" s="89"/>
      <c r="J14" s="90"/>
      <c r="K14" s="91"/>
      <c r="L14" s="92"/>
      <c r="M14" s="93"/>
      <c r="N14" s="97"/>
      <c r="O14" s="437"/>
      <c r="P14" s="89"/>
      <c r="Q14" s="90"/>
      <c r="R14" s="91"/>
      <c r="S14" s="92"/>
      <c r="T14" s="93"/>
      <c r="U14" s="97"/>
      <c r="V14" s="117"/>
      <c r="W14" s="100" t="s">
        <v>259</v>
      </c>
      <c r="X14" s="101">
        <v>1</v>
      </c>
      <c r="Y14" s="91">
        <v>4</v>
      </c>
      <c r="Z14" s="91">
        <v>100</v>
      </c>
      <c r="AA14" s="93">
        <f t="shared" si="7"/>
        <v>400</v>
      </c>
      <c r="AB14" s="97"/>
    </row>
    <row r="15" spans="1:30" s="88" customFormat="1" ht="11.25" customHeight="1">
      <c r="A15" s="437"/>
      <c r="B15" s="89" t="s">
        <v>259</v>
      </c>
      <c r="C15" s="90">
        <v>1</v>
      </c>
      <c r="D15" s="91">
        <v>1</v>
      </c>
      <c r="E15" s="92">
        <v>200</v>
      </c>
      <c r="F15" s="93">
        <f t="shared" si="4"/>
        <v>200</v>
      </c>
      <c r="G15" s="97"/>
      <c r="H15" s="437"/>
      <c r="I15" s="89"/>
      <c r="J15" s="90"/>
      <c r="K15" s="91"/>
      <c r="L15" s="92"/>
      <c r="M15" s="93">
        <f t="shared" si="5"/>
        <v>0</v>
      </c>
      <c r="N15" s="97"/>
      <c r="O15" s="437"/>
      <c r="P15" s="89"/>
      <c r="Q15" s="90"/>
      <c r="R15" s="91"/>
      <c r="S15" s="92"/>
      <c r="T15" s="93">
        <f t="shared" si="6"/>
        <v>0</v>
      </c>
      <c r="U15" s="97"/>
      <c r="V15" s="98"/>
      <c r="W15" s="89"/>
      <c r="X15" s="90"/>
      <c r="Y15" s="91"/>
      <c r="Z15" s="92"/>
      <c r="AA15" s="93">
        <f t="shared" ref="AA15:AA16" si="8">X15*Y15*Z15</f>
        <v>0</v>
      </c>
      <c r="AB15" s="97"/>
    </row>
    <row r="16" spans="1:30" s="88" customFormat="1" ht="11.25" customHeight="1">
      <c r="A16" s="438"/>
      <c r="B16" s="100" t="s">
        <v>267</v>
      </c>
      <c r="C16" s="101">
        <v>1</v>
      </c>
      <c r="D16" s="91">
        <v>1</v>
      </c>
      <c r="E16" s="91">
        <v>600</v>
      </c>
      <c r="F16" s="93">
        <f t="shared" si="4"/>
        <v>600</v>
      </c>
      <c r="G16" s="102"/>
      <c r="H16" s="438"/>
      <c r="I16" s="100"/>
      <c r="J16" s="101"/>
      <c r="K16" s="91"/>
      <c r="L16" s="91"/>
      <c r="M16" s="93">
        <f t="shared" si="5"/>
        <v>0</v>
      </c>
      <c r="N16" s="102"/>
      <c r="O16" s="438"/>
      <c r="P16" s="100"/>
      <c r="Q16" s="101"/>
      <c r="R16" s="91"/>
      <c r="S16" s="91"/>
      <c r="T16" s="93">
        <f t="shared" si="6"/>
        <v>0</v>
      </c>
      <c r="U16" s="102"/>
      <c r="V16" s="105"/>
      <c r="W16" s="100"/>
      <c r="X16" s="101"/>
      <c r="Y16" s="91"/>
      <c r="Z16" s="91"/>
      <c r="AA16" s="93">
        <f t="shared" si="8"/>
        <v>0</v>
      </c>
      <c r="AB16" s="102"/>
      <c r="AD16" s="88">
        <v>300</v>
      </c>
    </row>
    <row r="17" spans="1:30" s="88" customFormat="1">
      <c r="A17" s="107" t="s">
        <v>261</v>
      </c>
      <c r="B17" s="107"/>
      <c r="C17" s="108"/>
      <c r="D17" s="109"/>
      <c r="E17" s="110"/>
      <c r="F17" s="111">
        <f>SUM(F10:F16)</f>
        <v>146800</v>
      </c>
      <c r="G17" s="118"/>
      <c r="H17" s="116" t="s">
        <v>261</v>
      </c>
      <c r="I17" s="107"/>
      <c r="J17" s="108"/>
      <c r="K17" s="109"/>
      <c r="L17" s="110"/>
      <c r="M17" s="111">
        <f>SUM(M10:M16)</f>
        <v>0</v>
      </c>
      <c r="N17" s="118"/>
      <c r="O17" s="116" t="s">
        <v>261</v>
      </c>
      <c r="P17" s="107"/>
      <c r="Q17" s="108"/>
      <c r="R17" s="109"/>
      <c r="S17" s="110"/>
      <c r="T17" s="111">
        <f>SUM(T10:T16)</f>
        <v>0</v>
      </c>
      <c r="U17" s="118"/>
      <c r="V17" s="116" t="s">
        <v>261</v>
      </c>
      <c r="W17" s="107"/>
      <c r="X17" s="108"/>
      <c r="Y17" s="109"/>
      <c r="Z17" s="110"/>
      <c r="AA17" s="111">
        <f>SUM(AA10:AA16)</f>
        <v>49600</v>
      </c>
      <c r="AB17" s="118"/>
      <c r="AD17" s="88">
        <v>150</v>
      </c>
    </row>
    <row r="18" spans="1:30" s="88" customFormat="1" ht="11.25" customHeight="1">
      <c r="A18" s="413" t="s">
        <v>268</v>
      </c>
      <c r="B18" s="89" t="s">
        <v>253</v>
      </c>
      <c r="C18" s="90">
        <v>5</v>
      </c>
      <c r="D18" s="91">
        <v>1</v>
      </c>
      <c r="E18" s="92">
        <v>2000</v>
      </c>
      <c r="F18" s="93">
        <f t="shared" ref="F18:F23" si="9">C18*D18*E18</f>
        <v>10000</v>
      </c>
      <c r="G18" s="412"/>
      <c r="H18" s="96"/>
      <c r="I18" s="89"/>
      <c r="J18" s="90"/>
      <c r="K18" s="91"/>
      <c r="L18" s="92"/>
      <c r="M18" s="93">
        <f t="shared" ref="M18:M23" si="10">J18*K18*L18</f>
        <v>0</v>
      </c>
      <c r="N18" s="412"/>
      <c r="O18" s="96"/>
      <c r="P18" s="89"/>
      <c r="Q18" s="90"/>
      <c r="R18" s="91"/>
      <c r="S18" s="92"/>
      <c r="T18" s="93">
        <f t="shared" ref="T18:T23" si="11">Q18*R18*S18</f>
        <v>0</v>
      </c>
      <c r="U18" s="412"/>
      <c r="V18" s="96" t="s">
        <v>269</v>
      </c>
      <c r="W18" s="89"/>
      <c r="X18" s="90"/>
      <c r="Y18" s="91"/>
      <c r="Z18" s="92"/>
      <c r="AA18" s="93">
        <f t="shared" ref="AA18:AA23" si="12">X18*Y18*Z18</f>
        <v>0</v>
      </c>
      <c r="AB18" s="412"/>
      <c r="AD18" s="88">
        <v>150</v>
      </c>
    </row>
    <row r="19" spans="1:30" s="88" customFormat="1" ht="11.25" customHeight="1">
      <c r="A19" s="434"/>
      <c r="B19" s="89" t="s">
        <v>256</v>
      </c>
      <c r="C19" s="90">
        <v>40</v>
      </c>
      <c r="D19" s="91">
        <v>1.5</v>
      </c>
      <c r="E19" s="92">
        <v>400</v>
      </c>
      <c r="F19" s="93">
        <f t="shared" si="9"/>
        <v>24000</v>
      </c>
      <c r="G19" s="97"/>
      <c r="H19" s="439"/>
      <c r="I19" s="89"/>
      <c r="J19" s="90"/>
      <c r="K19" s="91"/>
      <c r="L19" s="92"/>
      <c r="M19" s="93">
        <f t="shared" si="10"/>
        <v>0</v>
      </c>
      <c r="N19" s="97"/>
      <c r="O19" s="117"/>
      <c r="P19" s="89"/>
      <c r="Q19" s="90"/>
      <c r="R19" s="91"/>
      <c r="S19" s="92"/>
      <c r="T19" s="93">
        <f t="shared" si="11"/>
        <v>0</v>
      </c>
      <c r="U19" s="97"/>
      <c r="V19" s="98"/>
      <c r="W19" s="89" t="s">
        <v>253</v>
      </c>
      <c r="X19" s="90">
        <v>1</v>
      </c>
      <c r="Y19" s="91">
        <v>2</v>
      </c>
      <c r="Z19" s="92">
        <v>5000</v>
      </c>
      <c r="AA19" s="93">
        <f t="shared" si="12"/>
        <v>10000</v>
      </c>
      <c r="AB19" s="97"/>
      <c r="AD19" s="88">
        <v>150</v>
      </c>
    </row>
    <row r="20" spans="1:30" s="88" customFormat="1" ht="11.25" customHeight="1">
      <c r="A20" s="437"/>
      <c r="B20" s="89" t="s">
        <v>257</v>
      </c>
      <c r="C20" s="90">
        <v>50</v>
      </c>
      <c r="D20" s="91">
        <v>1.5</v>
      </c>
      <c r="E20" s="92">
        <v>300</v>
      </c>
      <c r="F20" s="93">
        <f t="shared" si="9"/>
        <v>22500</v>
      </c>
      <c r="G20" s="97"/>
      <c r="H20" s="440"/>
      <c r="I20" s="89"/>
      <c r="J20" s="90"/>
      <c r="K20" s="91"/>
      <c r="L20" s="92"/>
      <c r="M20" s="93">
        <f t="shared" si="10"/>
        <v>0</v>
      </c>
      <c r="N20" s="97"/>
      <c r="O20" s="117"/>
      <c r="P20" s="89"/>
      <c r="Q20" s="90"/>
      <c r="R20" s="91"/>
      <c r="S20" s="92"/>
      <c r="T20" s="93">
        <f t="shared" si="11"/>
        <v>0</v>
      </c>
      <c r="U20" s="97"/>
      <c r="V20" s="98"/>
      <c r="W20" s="89" t="s">
        <v>256</v>
      </c>
      <c r="X20" s="90">
        <v>14</v>
      </c>
      <c r="Y20" s="91">
        <v>6</v>
      </c>
      <c r="Z20" s="92">
        <v>400</v>
      </c>
      <c r="AA20" s="93">
        <f t="shared" si="12"/>
        <v>33600</v>
      </c>
      <c r="AB20" s="97"/>
      <c r="AD20" s="88">
        <v>150</v>
      </c>
    </row>
    <row r="21" spans="1:30" s="88" customFormat="1" ht="11.25" customHeight="1">
      <c r="A21" s="437"/>
      <c r="B21" s="100" t="s">
        <v>259</v>
      </c>
      <c r="C21" s="101">
        <v>5</v>
      </c>
      <c r="D21" s="91">
        <v>1.5</v>
      </c>
      <c r="E21" s="91">
        <v>100</v>
      </c>
      <c r="F21" s="93">
        <f t="shared" si="9"/>
        <v>750</v>
      </c>
      <c r="G21" s="97"/>
      <c r="H21" s="440"/>
      <c r="I21" s="89"/>
      <c r="J21" s="90"/>
      <c r="K21" s="91"/>
      <c r="L21" s="92"/>
      <c r="M21" s="93">
        <f t="shared" si="10"/>
        <v>0</v>
      </c>
      <c r="N21" s="97"/>
      <c r="O21" s="117"/>
      <c r="P21" s="89"/>
      <c r="Q21" s="90"/>
      <c r="R21" s="91"/>
      <c r="S21" s="92"/>
      <c r="T21" s="93">
        <f t="shared" si="11"/>
        <v>0</v>
      </c>
      <c r="U21" s="97"/>
      <c r="V21" s="98"/>
      <c r="W21" s="89" t="s">
        <v>257</v>
      </c>
      <c r="X21" s="90">
        <v>14</v>
      </c>
      <c r="Y21" s="91">
        <v>6</v>
      </c>
      <c r="Z21" s="92">
        <v>300</v>
      </c>
      <c r="AA21" s="93">
        <f t="shared" si="12"/>
        <v>25200</v>
      </c>
      <c r="AB21" s="97"/>
      <c r="AD21" s="88">
        <v>150</v>
      </c>
    </row>
    <row r="22" spans="1:30" s="88" customFormat="1" ht="11.25" customHeight="1">
      <c r="A22" s="437"/>
      <c r="B22" s="89"/>
      <c r="C22" s="90"/>
      <c r="D22" s="91"/>
      <c r="E22" s="92"/>
      <c r="F22" s="93">
        <f t="shared" si="9"/>
        <v>0</v>
      </c>
      <c r="G22" s="97"/>
      <c r="H22" s="440"/>
      <c r="I22" s="89"/>
      <c r="J22" s="90"/>
      <c r="K22" s="91"/>
      <c r="L22" s="92"/>
      <c r="M22" s="93">
        <f t="shared" si="10"/>
        <v>0</v>
      </c>
      <c r="N22" s="97"/>
      <c r="O22" s="437"/>
      <c r="P22" s="89"/>
      <c r="Q22" s="90"/>
      <c r="R22" s="91"/>
      <c r="S22" s="92"/>
      <c r="T22" s="93">
        <f t="shared" si="11"/>
        <v>0</v>
      </c>
      <c r="U22" s="97"/>
      <c r="V22" s="98"/>
      <c r="W22" s="100" t="s">
        <v>259</v>
      </c>
      <c r="X22" s="101">
        <v>1</v>
      </c>
      <c r="Y22" s="91">
        <v>6</v>
      </c>
      <c r="Z22" s="91">
        <v>100</v>
      </c>
      <c r="AA22" s="93">
        <f t="shared" si="12"/>
        <v>600</v>
      </c>
      <c r="AB22" s="97"/>
      <c r="AD22" s="88">
        <v>250</v>
      </c>
    </row>
    <row r="23" spans="1:30" s="88" customFormat="1" ht="11.25" customHeight="1">
      <c r="A23" s="438"/>
      <c r="B23" s="100"/>
      <c r="C23" s="101"/>
      <c r="D23" s="91"/>
      <c r="E23" s="91"/>
      <c r="F23" s="93">
        <f t="shared" si="9"/>
        <v>0</v>
      </c>
      <c r="G23" s="102"/>
      <c r="H23" s="441"/>
      <c r="I23" s="100"/>
      <c r="J23" s="101"/>
      <c r="K23" s="91"/>
      <c r="L23" s="91"/>
      <c r="M23" s="93">
        <f t="shared" si="10"/>
        <v>0</v>
      </c>
      <c r="N23" s="102"/>
      <c r="O23" s="438"/>
      <c r="P23" s="100"/>
      <c r="Q23" s="101"/>
      <c r="R23" s="91"/>
      <c r="S23" s="91"/>
      <c r="T23" s="93">
        <f t="shared" si="11"/>
        <v>0</v>
      </c>
      <c r="U23" s="102"/>
      <c r="V23" s="105"/>
      <c r="W23" s="100"/>
      <c r="X23" s="101"/>
      <c r="Y23" s="91"/>
      <c r="Z23" s="91"/>
      <c r="AA23" s="93">
        <f t="shared" si="12"/>
        <v>0</v>
      </c>
      <c r="AB23" s="102"/>
    </row>
    <row r="24" spans="1:30" s="88" customFormat="1">
      <c r="A24" s="106" t="s">
        <v>261</v>
      </c>
      <c r="B24" s="107"/>
      <c r="C24" s="108"/>
      <c r="D24" s="109"/>
      <c r="E24" s="110"/>
      <c r="F24" s="111">
        <f>SUM(F18:F23)</f>
        <v>57250</v>
      </c>
      <c r="G24" s="118"/>
      <c r="H24" s="116" t="s">
        <v>261</v>
      </c>
      <c r="I24" s="107"/>
      <c r="J24" s="108"/>
      <c r="K24" s="109"/>
      <c r="L24" s="110"/>
      <c r="M24" s="111">
        <f>SUM(M18:M23)</f>
        <v>0</v>
      </c>
      <c r="N24" s="118"/>
      <c r="O24" s="116" t="s">
        <v>261</v>
      </c>
      <c r="P24" s="107"/>
      <c r="Q24" s="108"/>
      <c r="R24" s="109"/>
      <c r="S24" s="110"/>
      <c r="T24" s="111">
        <f>SUM(T18:T23)</f>
        <v>0</v>
      </c>
      <c r="U24" s="118"/>
      <c r="V24" s="116" t="s">
        <v>261</v>
      </c>
      <c r="W24" s="107"/>
      <c r="X24" s="108"/>
      <c r="Y24" s="109"/>
      <c r="Z24" s="110"/>
      <c r="AA24" s="111">
        <f>SUM(AA18:AA23)</f>
        <v>69400</v>
      </c>
      <c r="AB24" s="118"/>
      <c r="AD24" s="88">
        <f>SUM(AD16:AD23)</f>
        <v>1300</v>
      </c>
    </row>
    <row r="25" spans="1:30" s="88" customFormat="1" ht="11.25" customHeight="1">
      <c r="A25" s="114" t="s">
        <v>270</v>
      </c>
      <c r="B25" s="89" t="s">
        <v>253</v>
      </c>
      <c r="C25" s="90">
        <v>5</v>
      </c>
      <c r="D25" s="91">
        <v>1</v>
      </c>
      <c r="E25" s="92">
        <v>4000</v>
      </c>
      <c r="F25" s="93">
        <f t="shared" ref="F25:F30" si="13">C25*D25*E25</f>
        <v>20000</v>
      </c>
      <c r="G25" s="412"/>
      <c r="H25" s="96"/>
      <c r="I25" s="89"/>
      <c r="J25" s="90"/>
      <c r="K25" s="91"/>
      <c r="L25" s="92"/>
      <c r="M25" s="93">
        <f t="shared" ref="M25:M30" si="14">J25*K25*L25</f>
        <v>0</v>
      </c>
      <c r="N25" s="412"/>
      <c r="O25" s="96"/>
      <c r="P25" s="89"/>
      <c r="Q25" s="90"/>
      <c r="R25" s="91"/>
      <c r="S25" s="92"/>
      <c r="T25" s="93">
        <f t="shared" ref="T25:T30" si="15">Q25*R25*S25</f>
        <v>0</v>
      </c>
      <c r="U25" s="412"/>
      <c r="V25" s="96" t="s">
        <v>271</v>
      </c>
      <c r="W25" s="89"/>
      <c r="X25" s="90"/>
      <c r="Y25" s="91"/>
      <c r="Z25" s="92"/>
      <c r="AA25" s="93">
        <f t="shared" ref="AA25:AA30" si="16">X25*Y25*Z25</f>
        <v>0</v>
      </c>
      <c r="AB25" s="412"/>
      <c r="AD25" s="88">
        <f>AD24/7</f>
        <v>185.71428571428572</v>
      </c>
    </row>
    <row r="26" spans="1:30" s="88" customFormat="1" ht="11.25" customHeight="1">
      <c r="A26" s="437"/>
      <c r="B26" s="89" t="s">
        <v>256</v>
      </c>
      <c r="C26" s="90">
        <v>20</v>
      </c>
      <c r="D26" s="91">
        <v>2</v>
      </c>
      <c r="E26" s="92">
        <v>400</v>
      </c>
      <c r="F26" s="93">
        <f t="shared" si="13"/>
        <v>16000</v>
      </c>
      <c r="G26" s="97"/>
      <c r="H26" s="437"/>
      <c r="I26" s="89"/>
      <c r="J26" s="90"/>
      <c r="K26" s="91"/>
      <c r="L26" s="92"/>
      <c r="M26" s="93">
        <f t="shared" si="14"/>
        <v>0</v>
      </c>
      <c r="N26" s="97"/>
      <c r="O26" s="437"/>
      <c r="P26" s="89"/>
      <c r="Q26" s="90"/>
      <c r="R26" s="91"/>
      <c r="S26" s="92"/>
      <c r="T26" s="93">
        <f t="shared" si="15"/>
        <v>0</v>
      </c>
      <c r="U26" s="97"/>
      <c r="V26" s="98"/>
      <c r="W26" s="89" t="s">
        <v>253</v>
      </c>
      <c r="X26" s="90">
        <v>1</v>
      </c>
      <c r="Y26" s="91">
        <v>2</v>
      </c>
      <c r="Z26" s="92">
        <v>5000</v>
      </c>
      <c r="AA26" s="93">
        <f t="shared" si="16"/>
        <v>10000</v>
      </c>
      <c r="AB26" s="97"/>
    </row>
    <row r="27" spans="1:30" s="88" customFormat="1" ht="11.25" customHeight="1">
      <c r="A27" s="437"/>
      <c r="B27" s="89" t="s">
        <v>257</v>
      </c>
      <c r="C27" s="90">
        <v>25</v>
      </c>
      <c r="D27" s="91">
        <v>2</v>
      </c>
      <c r="E27" s="92">
        <v>300</v>
      </c>
      <c r="F27" s="93">
        <f t="shared" si="13"/>
        <v>15000</v>
      </c>
      <c r="G27" s="97"/>
      <c r="H27" s="437"/>
      <c r="I27" s="89"/>
      <c r="J27" s="90"/>
      <c r="K27" s="91"/>
      <c r="L27" s="92"/>
      <c r="M27" s="93">
        <f t="shared" si="14"/>
        <v>0</v>
      </c>
      <c r="N27" s="97"/>
      <c r="O27" s="437"/>
      <c r="P27" s="89"/>
      <c r="Q27" s="90"/>
      <c r="R27" s="91"/>
      <c r="S27" s="92"/>
      <c r="T27" s="93">
        <f t="shared" si="15"/>
        <v>0</v>
      </c>
      <c r="U27" s="97"/>
      <c r="V27" s="98"/>
      <c r="W27" s="89" t="s">
        <v>256</v>
      </c>
      <c r="X27" s="90">
        <v>14</v>
      </c>
      <c r="Y27" s="91">
        <v>6</v>
      </c>
      <c r="Z27" s="92">
        <v>400</v>
      </c>
      <c r="AA27" s="93">
        <f t="shared" si="16"/>
        <v>33600</v>
      </c>
      <c r="AB27" s="97"/>
    </row>
    <row r="28" spans="1:30" s="88" customFormat="1" ht="11.25" customHeight="1">
      <c r="A28" s="437"/>
      <c r="B28" s="100" t="s">
        <v>259</v>
      </c>
      <c r="C28" s="101">
        <v>5</v>
      </c>
      <c r="D28" s="91">
        <v>1</v>
      </c>
      <c r="E28" s="91">
        <v>100</v>
      </c>
      <c r="F28" s="93">
        <f t="shared" si="13"/>
        <v>500</v>
      </c>
      <c r="G28" s="97"/>
      <c r="H28" s="437"/>
      <c r="I28" s="89"/>
      <c r="J28" s="90"/>
      <c r="K28" s="91"/>
      <c r="L28" s="92"/>
      <c r="M28" s="93">
        <f t="shared" si="14"/>
        <v>0</v>
      </c>
      <c r="N28" s="97"/>
      <c r="O28" s="437"/>
      <c r="P28" s="89"/>
      <c r="Q28" s="90"/>
      <c r="R28" s="91"/>
      <c r="S28" s="92"/>
      <c r="T28" s="93">
        <f t="shared" si="15"/>
        <v>0</v>
      </c>
      <c r="U28" s="97"/>
      <c r="V28" s="98"/>
      <c r="W28" s="89" t="s">
        <v>257</v>
      </c>
      <c r="X28" s="90">
        <v>14</v>
      </c>
      <c r="Y28" s="91">
        <v>6</v>
      </c>
      <c r="Z28" s="92">
        <v>300</v>
      </c>
      <c r="AA28" s="93">
        <f t="shared" si="16"/>
        <v>25200</v>
      </c>
      <c r="AB28" s="97"/>
    </row>
    <row r="29" spans="1:30" s="88" customFormat="1" ht="11.25" customHeight="1">
      <c r="A29" s="437"/>
      <c r="B29" s="89"/>
      <c r="C29" s="90"/>
      <c r="D29" s="91"/>
      <c r="E29" s="92"/>
      <c r="F29" s="93">
        <f t="shared" si="13"/>
        <v>0</v>
      </c>
      <c r="G29" s="97"/>
      <c r="H29" s="437"/>
      <c r="I29" s="89"/>
      <c r="J29" s="90"/>
      <c r="K29" s="91"/>
      <c r="L29" s="92"/>
      <c r="M29" s="93">
        <f t="shared" si="14"/>
        <v>0</v>
      </c>
      <c r="N29" s="97"/>
      <c r="O29" s="437"/>
      <c r="P29" s="89"/>
      <c r="Q29" s="90"/>
      <c r="R29" s="91"/>
      <c r="S29" s="92"/>
      <c r="T29" s="93">
        <f t="shared" si="15"/>
        <v>0</v>
      </c>
      <c r="U29" s="97"/>
      <c r="V29" s="98"/>
      <c r="W29" s="100" t="s">
        <v>259</v>
      </c>
      <c r="X29" s="101">
        <v>1</v>
      </c>
      <c r="Y29" s="91">
        <v>6</v>
      </c>
      <c r="Z29" s="91">
        <v>100</v>
      </c>
      <c r="AA29" s="93">
        <f t="shared" si="16"/>
        <v>600</v>
      </c>
      <c r="AB29" s="97"/>
    </row>
    <row r="30" spans="1:30" s="88" customFormat="1" ht="11.25" customHeight="1">
      <c r="A30" s="438"/>
      <c r="B30" s="100"/>
      <c r="C30" s="101"/>
      <c r="D30" s="91"/>
      <c r="E30" s="91"/>
      <c r="F30" s="93">
        <f t="shared" si="13"/>
        <v>0</v>
      </c>
      <c r="G30" s="102"/>
      <c r="H30" s="438"/>
      <c r="I30" s="100"/>
      <c r="J30" s="101"/>
      <c r="K30" s="91"/>
      <c r="L30" s="91"/>
      <c r="M30" s="93">
        <f t="shared" si="14"/>
        <v>0</v>
      </c>
      <c r="N30" s="102"/>
      <c r="O30" s="438"/>
      <c r="P30" s="100"/>
      <c r="Q30" s="101"/>
      <c r="R30" s="91"/>
      <c r="S30" s="91"/>
      <c r="T30" s="93">
        <f t="shared" si="15"/>
        <v>0</v>
      </c>
      <c r="U30" s="102"/>
      <c r="V30" s="105"/>
      <c r="W30" s="100"/>
      <c r="X30" s="101"/>
      <c r="Y30" s="91"/>
      <c r="Z30" s="91"/>
      <c r="AA30" s="93">
        <f t="shared" si="16"/>
        <v>0</v>
      </c>
      <c r="AB30" s="102"/>
    </row>
    <row r="31" spans="1:30" s="88" customFormat="1">
      <c r="A31" s="107" t="s">
        <v>261</v>
      </c>
      <c r="B31" s="107"/>
      <c r="C31" s="108"/>
      <c r="D31" s="109"/>
      <c r="E31" s="110"/>
      <c r="F31" s="111">
        <f>SUM(F25:F30)</f>
        <v>51500</v>
      </c>
      <c r="G31" s="118"/>
      <c r="H31" s="116" t="s">
        <v>261</v>
      </c>
      <c r="I31" s="107"/>
      <c r="J31" s="108"/>
      <c r="K31" s="109"/>
      <c r="L31" s="110"/>
      <c r="M31" s="111">
        <f>SUM(M25:M30)</f>
        <v>0</v>
      </c>
      <c r="N31" s="118"/>
      <c r="O31" s="116" t="s">
        <v>261</v>
      </c>
      <c r="P31" s="107"/>
      <c r="Q31" s="108"/>
      <c r="R31" s="109"/>
      <c r="S31" s="110"/>
      <c r="T31" s="111">
        <f>SUM(T25:T30)</f>
        <v>0</v>
      </c>
      <c r="U31" s="118"/>
      <c r="V31" s="116" t="s">
        <v>261</v>
      </c>
      <c r="W31" s="107"/>
      <c r="X31" s="108"/>
      <c r="Y31" s="109"/>
      <c r="Z31" s="110"/>
      <c r="AA31" s="111">
        <f>SUM(AA25:AA30)</f>
        <v>69400</v>
      </c>
      <c r="AB31" s="118"/>
    </row>
    <row r="32" spans="1:30" s="88" customFormat="1" ht="12.5">
      <c r="A32" s="107"/>
      <c r="B32" s="107"/>
      <c r="C32" s="191"/>
      <c r="D32" s="109"/>
      <c r="E32" s="192"/>
      <c r="F32" s="111"/>
      <c r="G32" s="415"/>
      <c r="H32" s="107"/>
      <c r="I32" s="107"/>
      <c r="J32" s="191"/>
      <c r="K32" s="109"/>
      <c r="L32" s="192"/>
      <c r="M32" s="111"/>
      <c r="N32" s="415"/>
      <c r="O32" s="107"/>
      <c r="P32" s="107"/>
      <c r="Q32" s="191"/>
      <c r="R32" s="109"/>
      <c r="S32" s="192"/>
      <c r="T32" s="111"/>
      <c r="U32" s="415"/>
      <c r="V32" s="96" t="s">
        <v>272</v>
      </c>
      <c r="W32" s="193"/>
      <c r="X32" s="194"/>
      <c r="Y32" s="195"/>
      <c r="Z32" s="196"/>
      <c r="AA32" s="197"/>
      <c r="AB32" s="415"/>
    </row>
    <row r="33" spans="1:28" s="88" customFormat="1">
      <c r="A33" s="107"/>
      <c r="B33" s="107"/>
      <c r="C33" s="191"/>
      <c r="D33" s="109"/>
      <c r="E33" s="192"/>
      <c r="F33" s="111"/>
      <c r="G33" s="415"/>
      <c r="H33" s="107"/>
      <c r="I33" s="107"/>
      <c r="J33" s="191"/>
      <c r="K33" s="109"/>
      <c r="L33" s="192"/>
      <c r="M33" s="111"/>
      <c r="N33" s="415"/>
      <c r="O33" s="107"/>
      <c r="P33" s="107"/>
      <c r="Q33" s="191"/>
      <c r="R33" s="109"/>
      <c r="S33" s="192"/>
      <c r="T33" s="111"/>
      <c r="U33" s="415"/>
      <c r="V33" s="431"/>
      <c r="W33" s="89" t="s">
        <v>263</v>
      </c>
      <c r="X33" s="90">
        <v>1</v>
      </c>
      <c r="Y33" s="91">
        <v>2</v>
      </c>
      <c r="Z33" s="92">
        <v>500</v>
      </c>
      <c r="AA33" s="93">
        <f t="shared" ref="AA33:AA35" si="17">X33*Y33*Z33</f>
        <v>1000</v>
      </c>
      <c r="AB33" s="415"/>
    </row>
    <row r="34" spans="1:28" s="88" customFormat="1" ht="10.4" customHeight="1">
      <c r="A34" s="107"/>
      <c r="B34" s="107"/>
      <c r="C34" s="191"/>
      <c r="D34" s="109"/>
      <c r="E34" s="192"/>
      <c r="F34" s="111"/>
      <c r="G34" s="415"/>
      <c r="H34" s="107"/>
      <c r="I34" s="107"/>
      <c r="J34" s="191"/>
      <c r="K34" s="109"/>
      <c r="L34" s="192"/>
      <c r="M34" s="111"/>
      <c r="N34" s="415"/>
      <c r="O34" s="107"/>
      <c r="P34" s="107"/>
      <c r="Q34" s="191"/>
      <c r="R34" s="109"/>
      <c r="S34" s="192"/>
      <c r="T34" s="111"/>
      <c r="U34" s="415"/>
      <c r="V34" s="432"/>
      <c r="W34" s="89" t="s">
        <v>256</v>
      </c>
      <c r="X34" s="90">
        <v>7</v>
      </c>
      <c r="Y34" s="91">
        <v>2</v>
      </c>
      <c r="Z34" s="92">
        <v>400</v>
      </c>
      <c r="AA34" s="93">
        <f t="shared" si="17"/>
        <v>5600</v>
      </c>
      <c r="AB34" s="415"/>
    </row>
    <row r="35" spans="1:28" s="88" customFormat="1" ht="10.4" customHeight="1">
      <c r="A35" s="107"/>
      <c r="B35" s="107"/>
      <c r="C35" s="191"/>
      <c r="D35" s="109"/>
      <c r="E35" s="192"/>
      <c r="F35" s="111"/>
      <c r="G35" s="415"/>
      <c r="H35" s="107"/>
      <c r="I35" s="107"/>
      <c r="J35" s="191"/>
      <c r="K35" s="109"/>
      <c r="L35" s="192"/>
      <c r="M35" s="111"/>
      <c r="N35" s="415"/>
      <c r="O35" s="107"/>
      <c r="P35" s="107"/>
      <c r="Q35" s="191"/>
      <c r="R35" s="109"/>
      <c r="S35" s="192"/>
      <c r="T35" s="111"/>
      <c r="U35" s="415"/>
      <c r="V35" s="432"/>
      <c r="W35" s="89" t="s">
        <v>257</v>
      </c>
      <c r="X35" s="90">
        <v>7</v>
      </c>
      <c r="Y35" s="91">
        <v>2</v>
      </c>
      <c r="Z35" s="92">
        <v>186</v>
      </c>
      <c r="AA35" s="93">
        <f t="shared" si="17"/>
        <v>2604</v>
      </c>
      <c r="AB35" s="415"/>
    </row>
    <row r="36" spans="1:28" s="88" customFormat="1" ht="10.4" customHeight="1">
      <c r="A36" s="107"/>
      <c r="B36" s="107"/>
      <c r="C36" s="191"/>
      <c r="D36" s="109"/>
      <c r="E36" s="192"/>
      <c r="F36" s="111"/>
      <c r="G36" s="415"/>
      <c r="H36" s="107"/>
      <c r="I36" s="107"/>
      <c r="J36" s="191"/>
      <c r="K36" s="109"/>
      <c r="L36" s="192"/>
      <c r="M36" s="111"/>
      <c r="N36" s="415"/>
      <c r="O36" s="107"/>
      <c r="P36" s="107"/>
      <c r="Q36" s="191"/>
      <c r="R36" s="109"/>
      <c r="S36" s="192"/>
      <c r="T36" s="111"/>
      <c r="U36" s="415"/>
      <c r="V36" s="433"/>
      <c r="W36" s="193"/>
      <c r="X36" s="194"/>
      <c r="Y36" s="195"/>
      <c r="Z36" s="196"/>
      <c r="AA36" s="197"/>
      <c r="AB36" s="415"/>
    </row>
    <row r="37" spans="1:28" s="88" customFormat="1" ht="10.4" customHeight="1">
      <c r="A37" s="107"/>
      <c r="B37" s="107"/>
      <c r="C37" s="191"/>
      <c r="D37" s="109"/>
      <c r="E37" s="192"/>
      <c r="F37" s="111"/>
      <c r="G37" s="415"/>
      <c r="H37" s="107"/>
      <c r="I37" s="107"/>
      <c r="J37" s="191"/>
      <c r="K37" s="109"/>
      <c r="L37" s="192"/>
      <c r="M37" s="111"/>
      <c r="N37" s="415"/>
      <c r="O37" s="107"/>
      <c r="P37" s="107"/>
      <c r="Q37" s="191"/>
      <c r="R37" s="109"/>
      <c r="S37" s="192"/>
      <c r="T37" s="111"/>
      <c r="U37" s="415"/>
      <c r="V37" s="116" t="s">
        <v>261</v>
      </c>
      <c r="W37" s="107"/>
      <c r="X37" s="191"/>
      <c r="Y37" s="109"/>
      <c r="Z37" s="192"/>
      <c r="AA37" s="111">
        <f>SUM(AA33:AA36)</f>
        <v>9204</v>
      </c>
      <c r="AB37" s="415"/>
    </row>
    <row r="38" spans="1:28" s="88" customFormat="1" ht="17.5" customHeight="1">
      <c r="A38" s="107"/>
      <c r="B38" s="107"/>
      <c r="C38" s="191"/>
      <c r="D38" s="109"/>
      <c r="E38" s="192"/>
      <c r="F38" s="111"/>
      <c r="G38" s="415"/>
      <c r="H38" s="107"/>
      <c r="I38" s="107"/>
      <c r="J38" s="191"/>
      <c r="K38" s="109"/>
      <c r="L38" s="192"/>
      <c r="M38" s="111"/>
      <c r="N38" s="415"/>
      <c r="O38" s="107"/>
      <c r="P38" s="107"/>
      <c r="Q38" s="191"/>
      <c r="R38" s="109"/>
      <c r="S38" s="192"/>
      <c r="T38" s="111"/>
      <c r="U38" s="415"/>
      <c r="V38" s="96" t="s">
        <v>273</v>
      </c>
      <c r="W38" s="193"/>
      <c r="X38" s="194"/>
      <c r="Y38" s="195"/>
      <c r="Z38" s="196"/>
      <c r="AA38" s="197"/>
      <c r="AB38" s="415"/>
    </row>
    <row r="39" spans="1:28" s="88" customFormat="1" ht="10.4" customHeight="1">
      <c r="A39" s="107"/>
      <c r="B39" s="107"/>
      <c r="C39" s="191"/>
      <c r="D39" s="109"/>
      <c r="E39" s="192"/>
      <c r="F39" s="111"/>
      <c r="G39" s="415"/>
      <c r="H39" s="107"/>
      <c r="I39" s="107"/>
      <c r="J39" s="191"/>
      <c r="K39" s="109"/>
      <c r="L39" s="192"/>
      <c r="M39" s="111"/>
      <c r="N39" s="415"/>
      <c r="O39" s="107"/>
      <c r="P39" s="107"/>
      <c r="Q39" s="191"/>
      <c r="R39" s="109"/>
      <c r="S39" s="192"/>
      <c r="T39" s="111"/>
      <c r="U39" s="415"/>
      <c r="V39" s="431"/>
      <c r="W39" s="89" t="s">
        <v>253</v>
      </c>
      <c r="X39" s="90">
        <v>1</v>
      </c>
      <c r="Y39" s="91">
        <v>2</v>
      </c>
      <c r="Z39" s="92">
        <v>5000</v>
      </c>
      <c r="AA39" s="93">
        <v>10000</v>
      </c>
      <c r="AB39" s="415"/>
    </row>
    <row r="40" spans="1:28" s="88" customFormat="1" ht="10.4" customHeight="1">
      <c r="A40" s="107"/>
      <c r="B40" s="107"/>
      <c r="C40" s="191"/>
      <c r="D40" s="109"/>
      <c r="E40" s="192"/>
      <c r="F40" s="111"/>
      <c r="G40" s="415"/>
      <c r="H40" s="107"/>
      <c r="I40" s="107"/>
      <c r="J40" s="191"/>
      <c r="K40" s="109"/>
      <c r="L40" s="192"/>
      <c r="M40" s="111"/>
      <c r="N40" s="415"/>
      <c r="O40" s="107"/>
      <c r="P40" s="107"/>
      <c r="Q40" s="191"/>
      <c r="R40" s="109"/>
      <c r="S40" s="192"/>
      <c r="T40" s="111"/>
      <c r="U40" s="415"/>
      <c r="V40" s="432"/>
      <c r="W40" s="89" t="s">
        <v>256</v>
      </c>
      <c r="X40" s="90">
        <v>14</v>
      </c>
      <c r="Y40" s="91">
        <v>6</v>
      </c>
      <c r="Z40" s="92">
        <v>400</v>
      </c>
      <c r="AA40" s="93">
        <v>33600</v>
      </c>
      <c r="AB40" s="415"/>
    </row>
    <row r="41" spans="1:28" s="88" customFormat="1" ht="10.4" customHeight="1">
      <c r="A41" s="107"/>
      <c r="B41" s="107"/>
      <c r="C41" s="191"/>
      <c r="D41" s="109"/>
      <c r="E41" s="192"/>
      <c r="F41" s="111"/>
      <c r="G41" s="415"/>
      <c r="H41" s="107"/>
      <c r="I41" s="107"/>
      <c r="J41" s="191"/>
      <c r="K41" s="109"/>
      <c r="L41" s="192"/>
      <c r="M41" s="111"/>
      <c r="N41" s="415"/>
      <c r="O41" s="107"/>
      <c r="P41" s="107"/>
      <c r="Q41" s="191"/>
      <c r="R41" s="109"/>
      <c r="S41" s="192"/>
      <c r="T41" s="111"/>
      <c r="U41" s="415"/>
      <c r="V41" s="432"/>
      <c r="W41" s="89" t="s">
        <v>257</v>
      </c>
      <c r="X41" s="90">
        <v>14</v>
      </c>
      <c r="Y41" s="91">
        <v>6</v>
      </c>
      <c r="Z41" s="92">
        <v>300</v>
      </c>
      <c r="AA41" s="93">
        <v>25200</v>
      </c>
      <c r="AB41" s="415"/>
    </row>
    <row r="42" spans="1:28" s="88" customFormat="1" ht="10.4" customHeight="1">
      <c r="A42" s="107"/>
      <c r="B42" s="107"/>
      <c r="C42" s="191"/>
      <c r="D42" s="109"/>
      <c r="E42" s="192"/>
      <c r="F42" s="111"/>
      <c r="G42" s="415"/>
      <c r="H42" s="107"/>
      <c r="I42" s="107"/>
      <c r="J42" s="191"/>
      <c r="K42" s="109"/>
      <c r="L42" s="192"/>
      <c r="M42" s="111"/>
      <c r="N42" s="415"/>
      <c r="O42" s="107"/>
      <c r="P42" s="107"/>
      <c r="Q42" s="191"/>
      <c r="R42" s="109"/>
      <c r="S42" s="192"/>
      <c r="T42" s="111"/>
      <c r="U42" s="415"/>
      <c r="V42" s="432"/>
      <c r="W42" s="89" t="s">
        <v>259</v>
      </c>
      <c r="X42" s="90">
        <v>1</v>
      </c>
      <c r="Y42" s="91">
        <v>6</v>
      </c>
      <c r="Z42" s="92">
        <v>100</v>
      </c>
      <c r="AA42" s="93">
        <v>600</v>
      </c>
      <c r="AB42" s="415"/>
    </row>
    <row r="43" spans="1:28" s="88" customFormat="1" ht="10.4" customHeight="1">
      <c r="A43" s="107"/>
      <c r="B43" s="107"/>
      <c r="C43" s="191"/>
      <c r="D43" s="109"/>
      <c r="E43" s="192"/>
      <c r="F43" s="111"/>
      <c r="G43" s="415"/>
      <c r="H43" s="107"/>
      <c r="I43" s="107"/>
      <c r="J43" s="191"/>
      <c r="K43" s="109"/>
      <c r="L43" s="192"/>
      <c r="M43" s="111"/>
      <c r="N43" s="415"/>
      <c r="O43" s="107"/>
      <c r="P43" s="107"/>
      <c r="Q43" s="191"/>
      <c r="R43" s="109"/>
      <c r="S43" s="192"/>
      <c r="T43" s="111"/>
      <c r="U43" s="415"/>
      <c r="V43" s="433"/>
      <c r="W43" s="193"/>
      <c r="X43" s="194"/>
      <c r="Y43" s="195"/>
      <c r="Z43" s="196"/>
      <c r="AA43" s="197">
        <v>0</v>
      </c>
      <c r="AB43" s="415"/>
    </row>
    <row r="44" spans="1:28" s="88" customFormat="1" ht="10.4" customHeight="1">
      <c r="A44" s="107"/>
      <c r="B44" s="107"/>
      <c r="C44" s="191"/>
      <c r="D44" s="109"/>
      <c r="E44" s="192"/>
      <c r="F44" s="111"/>
      <c r="G44" s="415"/>
      <c r="H44" s="107"/>
      <c r="I44" s="107"/>
      <c r="J44" s="191"/>
      <c r="K44" s="109"/>
      <c r="L44" s="192"/>
      <c r="M44" s="111"/>
      <c r="N44" s="415"/>
      <c r="O44" s="107"/>
      <c r="P44" s="107"/>
      <c r="Q44" s="191"/>
      <c r="R44" s="109"/>
      <c r="S44" s="192"/>
      <c r="T44" s="111"/>
      <c r="U44" s="415"/>
      <c r="V44" s="116" t="s">
        <v>261</v>
      </c>
      <c r="W44" s="107"/>
      <c r="X44" s="191"/>
      <c r="Y44" s="109"/>
      <c r="Z44" s="192"/>
      <c r="AA44" s="111">
        <f>SUM(AA39:AA43)</f>
        <v>69400</v>
      </c>
      <c r="AB44" s="415"/>
    </row>
    <row r="45" spans="1:28" s="88" customFormat="1" ht="11.25" customHeight="1">
      <c r="A45" s="114" t="s">
        <v>274</v>
      </c>
      <c r="B45" s="89" t="s">
        <v>253</v>
      </c>
      <c r="C45" s="90">
        <v>5</v>
      </c>
      <c r="D45" s="91">
        <v>1</v>
      </c>
      <c r="E45" s="92">
        <v>4000</v>
      </c>
      <c r="F45" s="93">
        <f t="shared" ref="F45:F50" si="18">C45*D45*E45</f>
        <v>20000</v>
      </c>
      <c r="G45" s="412"/>
      <c r="H45" s="96"/>
      <c r="I45" s="89"/>
      <c r="J45" s="90"/>
      <c r="K45" s="91"/>
      <c r="L45" s="92"/>
      <c r="M45" s="93">
        <f t="shared" ref="M45:M50" si="19">J45*K45*L45</f>
        <v>0</v>
      </c>
      <c r="N45" s="412"/>
      <c r="O45" s="96"/>
      <c r="P45" s="89"/>
      <c r="Q45" s="90"/>
      <c r="R45" s="91"/>
      <c r="S45" s="92"/>
      <c r="T45" s="93">
        <f t="shared" ref="T45:T50" si="20">Q45*R45*S45</f>
        <v>0</v>
      </c>
      <c r="U45" s="412"/>
      <c r="V45" s="96" t="s">
        <v>275</v>
      </c>
      <c r="W45" s="89"/>
      <c r="X45" s="90"/>
      <c r="Y45" s="91"/>
      <c r="Z45" s="92"/>
      <c r="AA45" s="93"/>
      <c r="AB45" s="412"/>
    </row>
    <row r="46" spans="1:28" s="88" customFormat="1" ht="11.25" customHeight="1">
      <c r="A46" s="437"/>
      <c r="B46" s="89" t="s">
        <v>256</v>
      </c>
      <c r="C46" s="90">
        <v>20</v>
      </c>
      <c r="D46" s="91">
        <v>2</v>
      </c>
      <c r="E46" s="92">
        <v>400</v>
      </c>
      <c r="F46" s="93">
        <f t="shared" si="18"/>
        <v>16000</v>
      </c>
      <c r="G46" s="97"/>
      <c r="H46" s="437"/>
      <c r="I46" s="89"/>
      <c r="J46" s="90"/>
      <c r="K46" s="91"/>
      <c r="L46" s="92"/>
      <c r="M46" s="93">
        <f t="shared" si="19"/>
        <v>0</v>
      </c>
      <c r="N46" s="97"/>
      <c r="O46" s="437"/>
      <c r="P46" s="89"/>
      <c r="Q46" s="90"/>
      <c r="R46" s="91"/>
      <c r="S46" s="92"/>
      <c r="T46" s="93">
        <f t="shared" si="20"/>
        <v>0</v>
      </c>
      <c r="U46" s="97"/>
      <c r="V46" s="98"/>
      <c r="W46" s="89" t="s">
        <v>253</v>
      </c>
      <c r="X46" s="90">
        <v>1</v>
      </c>
      <c r="Y46" s="91">
        <v>1</v>
      </c>
      <c r="Z46" s="92">
        <v>4000</v>
      </c>
      <c r="AA46" s="93">
        <f t="shared" ref="AA46:AA49" si="21">X46*Y46*Z46</f>
        <v>4000</v>
      </c>
      <c r="AB46" s="97"/>
    </row>
    <row r="47" spans="1:28" s="88" customFormat="1" ht="11.25" customHeight="1">
      <c r="A47" s="437"/>
      <c r="B47" s="89" t="s">
        <v>257</v>
      </c>
      <c r="C47" s="90">
        <v>1</v>
      </c>
      <c r="D47" s="91">
        <v>2</v>
      </c>
      <c r="E47" s="92">
        <v>300</v>
      </c>
      <c r="F47" s="93">
        <f t="shared" si="18"/>
        <v>600</v>
      </c>
      <c r="G47" s="97"/>
      <c r="H47" s="437"/>
      <c r="I47" s="89"/>
      <c r="J47" s="90"/>
      <c r="K47" s="91"/>
      <c r="L47" s="92"/>
      <c r="M47" s="93">
        <f t="shared" si="19"/>
        <v>0</v>
      </c>
      <c r="N47" s="97"/>
      <c r="O47" s="437"/>
      <c r="P47" s="89"/>
      <c r="Q47" s="90"/>
      <c r="R47" s="91"/>
      <c r="S47" s="92"/>
      <c r="T47" s="93">
        <f t="shared" si="20"/>
        <v>0</v>
      </c>
      <c r="U47" s="97"/>
      <c r="V47" s="98"/>
      <c r="W47" s="89" t="s">
        <v>256</v>
      </c>
      <c r="X47" s="90">
        <v>4</v>
      </c>
      <c r="Y47" s="91">
        <v>3</v>
      </c>
      <c r="Z47" s="92">
        <v>400</v>
      </c>
      <c r="AA47" s="93">
        <f t="shared" si="21"/>
        <v>4800</v>
      </c>
      <c r="AB47" s="97"/>
    </row>
    <row r="48" spans="1:28" s="88" customFormat="1" ht="11.25" customHeight="1">
      <c r="A48" s="437"/>
      <c r="B48" s="100" t="s">
        <v>259</v>
      </c>
      <c r="C48" s="101">
        <v>5</v>
      </c>
      <c r="D48" s="91">
        <v>2</v>
      </c>
      <c r="E48" s="91">
        <v>100</v>
      </c>
      <c r="F48" s="93">
        <f t="shared" si="18"/>
        <v>1000</v>
      </c>
      <c r="G48" s="97"/>
      <c r="H48" s="437"/>
      <c r="I48" s="89"/>
      <c r="J48" s="90"/>
      <c r="K48" s="91"/>
      <c r="L48" s="92"/>
      <c r="M48" s="93">
        <f t="shared" si="19"/>
        <v>0</v>
      </c>
      <c r="N48" s="97"/>
      <c r="O48" s="437"/>
      <c r="P48" s="89"/>
      <c r="Q48" s="90"/>
      <c r="R48" s="91"/>
      <c r="S48" s="92"/>
      <c r="T48" s="93">
        <f t="shared" si="20"/>
        <v>0</v>
      </c>
      <c r="U48" s="97"/>
      <c r="V48" s="98"/>
      <c r="W48" s="89" t="s">
        <v>257</v>
      </c>
      <c r="X48" s="90">
        <v>4</v>
      </c>
      <c r="Y48" s="91">
        <v>3</v>
      </c>
      <c r="Z48" s="92">
        <v>150</v>
      </c>
      <c r="AA48" s="93">
        <f t="shared" si="21"/>
        <v>1800</v>
      </c>
      <c r="AB48" s="97"/>
    </row>
    <row r="49" spans="1:28" s="88" customFormat="1" ht="11.25" customHeight="1">
      <c r="A49" s="437"/>
      <c r="B49" s="89"/>
      <c r="C49" s="90"/>
      <c r="D49" s="91"/>
      <c r="E49" s="92"/>
      <c r="F49" s="93">
        <f t="shared" si="18"/>
        <v>0</v>
      </c>
      <c r="G49" s="97"/>
      <c r="H49" s="437"/>
      <c r="I49" s="89"/>
      <c r="J49" s="90"/>
      <c r="K49" s="91"/>
      <c r="L49" s="92"/>
      <c r="M49" s="93">
        <f t="shared" si="19"/>
        <v>0</v>
      </c>
      <c r="N49" s="97"/>
      <c r="O49" s="437"/>
      <c r="P49" s="89"/>
      <c r="Q49" s="90"/>
      <c r="R49" s="91"/>
      <c r="S49" s="92"/>
      <c r="T49" s="93">
        <f t="shared" si="20"/>
        <v>0</v>
      </c>
      <c r="U49" s="97"/>
      <c r="V49" s="98"/>
      <c r="W49" s="100" t="s">
        <v>259</v>
      </c>
      <c r="X49" s="101">
        <v>1</v>
      </c>
      <c r="Y49" s="91">
        <v>3</v>
      </c>
      <c r="Z49" s="91">
        <v>100</v>
      </c>
      <c r="AA49" s="93">
        <f t="shared" si="21"/>
        <v>300</v>
      </c>
      <c r="AB49" s="97"/>
    </row>
    <row r="50" spans="1:28" s="88" customFormat="1" ht="11.25" customHeight="1">
      <c r="A50" s="438"/>
      <c r="B50" s="100"/>
      <c r="C50" s="101"/>
      <c r="D50" s="91"/>
      <c r="E50" s="91"/>
      <c r="F50" s="93">
        <f t="shared" si="18"/>
        <v>0</v>
      </c>
      <c r="G50" s="102"/>
      <c r="H50" s="438"/>
      <c r="I50" s="100"/>
      <c r="J50" s="101"/>
      <c r="K50" s="91"/>
      <c r="L50" s="91"/>
      <c r="M50" s="93">
        <f t="shared" si="19"/>
        <v>0</v>
      </c>
      <c r="N50" s="102"/>
      <c r="O50" s="438"/>
      <c r="P50" s="100"/>
      <c r="Q50" s="101"/>
      <c r="R50" s="91"/>
      <c r="S50" s="91"/>
      <c r="T50" s="93">
        <f t="shared" si="20"/>
        <v>0</v>
      </c>
      <c r="U50" s="102"/>
      <c r="V50" s="105"/>
      <c r="W50" s="100"/>
      <c r="X50" s="101"/>
      <c r="Y50" s="91"/>
      <c r="Z50" s="91"/>
      <c r="AA50" s="93"/>
      <c r="AB50" s="102"/>
    </row>
    <row r="51" spans="1:28" s="88" customFormat="1">
      <c r="A51" s="107" t="s">
        <v>261</v>
      </c>
      <c r="B51" s="107"/>
      <c r="C51" s="108"/>
      <c r="D51" s="109"/>
      <c r="E51" s="110"/>
      <c r="F51" s="111">
        <f>SUM(F45:F50)</f>
        <v>37600</v>
      </c>
      <c r="G51" s="118"/>
      <c r="H51" s="116" t="s">
        <v>261</v>
      </c>
      <c r="I51" s="107"/>
      <c r="J51" s="108"/>
      <c r="K51" s="109"/>
      <c r="L51" s="110"/>
      <c r="M51" s="111">
        <f>SUM(M45:M50)</f>
        <v>0</v>
      </c>
      <c r="N51" s="118"/>
      <c r="O51" s="116" t="s">
        <v>261</v>
      </c>
      <c r="P51" s="107"/>
      <c r="Q51" s="108"/>
      <c r="R51" s="109"/>
      <c r="S51" s="110"/>
      <c r="T51" s="111">
        <f>SUM(T45:T50)</f>
        <v>0</v>
      </c>
      <c r="U51" s="118"/>
      <c r="V51" s="116" t="s">
        <v>261</v>
      </c>
      <c r="W51" s="107"/>
      <c r="X51" s="108"/>
      <c r="Y51" s="109"/>
      <c r="Z51" s="110"/>
      <c r="AA51" s="111">
        <f>SUM(AA45:AA50)</f>
        <v>10900</v>
      </c>
      <c r="AB51" s="118"/>
    </row>
    <row r="52" spans="1:28" s="88" customFormat="1" ht="11.25" customHeight="1">
      <c r="A52" s="114" t="s">
        <v>276</v>
      </c>
      <c r="B52" s="89" t="s">
        <v>253</v>
      </c>
      <c r="C52" s="90">
        <v>5</v>
      </c>
      <c r="D52" s="91">
        <v>1</v>
      </c>
      <c r="E52" s="92">
        <v>1000</v>
      </c>
      <c r="F52" s="93">
        <f t="shared" ref="F52:F57" si="22">C52*D52*E52</f>
        <v>5000</v>
      </c>
      <c r="G52" s="412"/>
      <c r="H52" s="96"/>
      <c r="I52" s="89"/>
      <c r="J52" s="90"/>
      <c r="K52" s="91"/>
      <c r="L52" s="92"/>
      <c r="M52" s="93">
        <f t="shared" ref="M52:M57" si="23">J52*K52*L52</f>
        <v>0</v>
      </c>
      <c r="N52" s="412"/>
      <c r="O52" s="96"/>
      <c r="P52" s="89"/>
      <c r="Q52" s="90"/>
      <c r="R52" s="91"/>
      <c r="S52" s="92"/>
      <c r="T52" s="93">
        <f t="shared" ref="T52:T57" si="24">Q52*R52*S52</f>
        <v>0</v>
      </c>
      <c r="U52" s="412"/>
      <c r="V52" s="119" t="s">
        <v>277</v>
      </c>
      <c r="W52" s="89"/>
      <c r="X52" s="90"/>
      <c r="Y52" s="91"/>
      <c r="Z52" s="92"/>
      <c r="AA52" s="93">
        <f t="shared" ref="AA52:AA57" si="25">X52*Y52*Z52</f>
        <v>0</v>
      </c>
      <c r="AB52" s="412"/>
    </row>
    <row r="53" spans="1:28" s="88" customFormat="1" ht="11.25" customHeight="1">
      <c r="A53" s="437"/>
      <c r="B53" s="89" t="s">
        <v>257</v>
      </c>
      <c r="C53" s="90">
        <v>20</v>
      </c>
      <c r="D53" s="91">
        <v>2</v>
      </c>
      <c r="E53" s="92">
        <v>100</v>
      </c>
      <c r="F53" s="93">
        <f t="shared" si="22"/>
        <v>4000</v>
      </c>
      <c r="G53" s="97"/>
      <c r="H53" s="437"/>
      <c r="I53" s="89"/>
      <c r="J53" s="90"/>
      <c r="K53" s="91"/>
      <c r="L53" s="92"/>
      <c r="M53" s="93">
        <f t="shared" si="23"/>
        <v>0</v>
      </c>
      <c r="N53" s="97"/>
      <c r="O53" s="437"/>
      <c r="P53" s="89"/>
      <c r="Q53" s="90"/>
      <c r="R53" s="91"/>
      <c r="S53" s="92"/>
      <c r="T53" s="93">
        <f t="shared" si="24"/>
        <v>0</v>
      </c>
      <c r="U53" s="97"/>
      <c r="V53" s="437"/>
      <c r="W53" s="89"/>
      <c r="X53" s="90"/>
      <c r="Y53" s="91"/>
      <c r="Z53" s="92"/>
      <c r="AA53" s="93">
        <f t="shared" si="25"/>
        <v>0</v>
      </c>
      <c r="AB53" s="97"/>
    </row>
    <row r="54" spans="1:28" s="88" customFormat="1" ht="11.25" customHeight="1">
      <c r="A54" s="437"/>
      <c r="B54" s="100" t="s">
        <v>259</v>
      </c>
      <c r="C54" s="101">
        <v>5</v>
      </c>
      <c r="D54" s="91">
        <v>2</v>
      </c>
      <c r="E54" s="91">
        <v>100</v>
      </c>
      <c r="F54" s="93">
        <f t="shared" si="22"/>
        <v>1000</v>
      </c>
      <c r="G54" s="97"/>
      <c r="H54" s="437"/>
      <c r="I54" s="89"/>
      <c r="J54" s="90"/>
      <c r="K54" s="91"/>
      <c r="L54" s="92"/>
      <c r="M54" s="93">
        <f t="shared" si="23"/>
        <v>0</v>
      </c>
      <c r="N54" s="97"/>
      <c r="O54" s="437"/>
      <c r="P54" s="89"/>
      <c r="Q54" s="90"/>
      <c r="R54" s="91"/>
      <c r="S54" s="92"/>
      <c r="T54" s="93">
        <f t="shared" si="24"/>
        <v>0</v>
      </c>
      <c r="U54" s="97"/>
      <c r="V54" s="437"/>
      <c r="W54" s="89"/>
      <c r="X54" s="90"/>
      <c r="Y54" s="91"/>
      <c r="Z54" s="92"/>
      <c r="AA54" s="93">
        <f t="shared" si="25"/>
        <v>0</v>
      </c>
      <c r="AB54" s="97"/>
    </row>
    <row r="55" spans="1:28" s="88" customFormat="1" ht="11.25" customHeight="1">
      <c r="A55" s="437"/>
      <c r="B55" s="100"/>
      <c r="C55" s="101"/>
      <c r="D55" s="91"/>
      <c r="E55" s="91"/>
      <c r="F55" s="93">
        <f t="shared" si="22"/>
        <v>0</v>
      </c>
      <c r="G55" s="97"/>
      <c r="H55" s="437"/>
      <c r="I55" s="89"/>
      <c r="J55" s="90"/>
      <c r="K55" s="91"/>
      <c r="L55" s="92"/>
      <c r="M55" s="93">
        <f t="shared" si="23"/>
        <v>0</v>
      </c>
      <c r="N55" s="97"/>
      <c r="O55" s="437"/>
      <c r="P55" s="89"/>
      <c r="Q55" s="90"/>
      <c r="R55" s="91"/>
      <c r="S55" s="92"/>
      <c r="T55" s="93">
        <f t="shared" si="24"/>
        <v>0</v>
      </c>
      <c r="U55" s="97"/>
      <c r="V55" s="438"/>
      <c r="W55" s="89"/>
      <c r="X55" s="90"/>
      <c r="Y55" s="91"/>
      <c r="Z55" s="92"/>
      <c r="AA55" s="93">
        <f t="shared" si="25"/>
        <v>0</v>
      </c>
      <c r="AB55" s="97"/>
    </row>
    <row r="56" spans="1:28" s="88" customFormat="1" ht="11.25" customHeight="1">
      <c r="A56" s="437"/>
      <c r="B56" s="89"/>
      <c r="C56" s="90"/>
      <c r="D56" s="91"/>
      <c r="E56" s="92"/>
      <c r="F56" s="93">
        <f t="shared" si="22"/>
        <v>0</v>
      </c>
      <c r="G56" s="97"/>
      <c r="H56" s="437"/>
      <c r="I56" s="89"/>
      <c r="J56" s="90"/>
      <c r="K56" s="91"/>
      <c r="L56" s="92"/>
      <c r="M56" s="93">
        <f t="shared" si="23"/>
        <v>0</v>
      </c>
      <c r="N56" s="97"/>
      <c r="O56" s="437"/>
      <c r="P56" s="89"/>
      <c r="Q56" s="90"/>
      <c r="R56" s="91"/>
      <c r="S56" s="92"/>
      <c r="T56" s="93">
        <f t="shared" si="24"/>
        <v>0</v>
      </c>
      <c r="U56" s="97"/>
      <c r="V56" s="104"/>
      <c r="W56" s="89"/>
      <c r="X56" s="90"/>
      <c r="Y56" s="91"/>
      <c r="Z56" s="92"/>
      <c r="AA56" s="93">
        <f t="shared" si="25"/>
        <v>0</v>
      </c>
      <c r="AB56" s="97"/>
    </row>
    <row r="57" spans="1:28" s="88" customFormat="1" ht="11.25" customHeight="1">
      <c r="A57" s="438"/>
      <c r="B57" s="100"/>
      <c r="C57" s="101"/>
      <c r="D57" s="91"/>
      <c r="E57" s="91"/>
      <c r="F57" s="93">
        <f t="shared" si="22"/>
        <v>0</v>
      </c>
      <c r="G57" s="102"/>
      <c r="H57" s="438"/>
      <c r="I57" s="100"/>
      <c r="J57" s="101"/>
      <c r="K57" s="91"/>
      <c r="L57" s="91"/>
      <c r="M57" s="93">
        <f t="shared" si="23"/>
        <v>0</v>
      </c>
      <c r="N57" s="102"/>
      <c r="O57" s="438"/>
      <c r="P57" s="100"/>
      <c r="Q57" s="101"/>
      <c r="R57" s="91"/>
      <c r="S57" s="91"/>
      <c r="T57" s="93">
        <f t="shared" si="24"/>
        <v>0</v>
      </c>
      <c r="U57" s="102"/>
      <c r="V57" s="104"/>
      <c r="W57" s="100"/>
      <c r="X57" s="101"/>
      <c r="Y57" s="91"/>
      <c r="Z57" s="91"/>
      <c r="AA57" s="93">
        <f t="shared" si="25"/>
        <v>0</v>
      </c>
      <c r="AB57" s="102"/>
    </row>
    <row r="58" spans="1:28" s="88" customFormat="1">
      <c r="A58" s="107" t="s">
        <v>261</v>
      </c>
      <c r="B58" s="107"/>
      <c r="C58" s="108"/>
      <c r="D58" s="109"/>
      <c r="E58" s="110"/>
      <c r="F58" s="111">
        <f>SUM(F52:F57)</f>
        <v>10000</v>
      </c>
      <c r="G58" s="118"/>
      <c r="H58" s="116" t="s">
        <v>261</v>
      </c>
      <c r="I58" s="107"/>
      <c r="J58" s="108"/>
      <c r="K58" s="109"/>
      <c r="L58" s="110"/>
      <c r="M58" s="111">
        <f>SUM(M52:M57)</f>
        <v>0</v>
      </c>
      <c r="N58" s="118"/>
      <c r="O58" s="116" t="s">
        <v>261</v>
      </c>
      <c r="P58" s="107"/>
      <c r="Q58" s="108"/>
      <c r="R58" s="109"/>
      <c r="S58" s="110"/>
      <c r="T58" s="111">
        <f>SUM(T52:T57)</f>
        <v>0</v>
      </c>
      <c r="U58" s="118"/>
      <c r="V58" s="113" t="s">
        <v>261</v>
      </c>
      <c r="W58" s="107"/>
      <c r="X58" s="108"/>
      <c r="Y58" s="109"/>
      <c r="Z58" s="110"/>
      <c r="AA58" s="111">
        <f>SUM(AA52:AA57)</f>
        <v>0</v>
      </c>
      <c r="AB58" s="118"/>
    </row>
    <row r="59" spans="1:28" s="88" customFormat="1" ht="11.25" customHeight="1">
      <c r="A59" s="413" t="s">
        <v>278</v>
      </c>
      <c r="B59" s="89" t="s">
        <v>279</v>
      </c>
      <c r="C59" s="90">
        <v>3</v>
      </c>
      <c r="D59" s="91">
        <v>2</v>
      </c>
      <c r="E59" s="92">
        <v>4500</v>
      </c>
      <c r="F59" s="93">
        <f t="shared" ref="F59:F64" si="26">C59*D59*E59</f>
        <v>27000</v>
      </c>
      <c r="G59" s="412"/>
      <c r="H59" s="94"/>
      <c r="I59" s="89"/>
      <c r="J59" s="90"/>
      <c r="K59" s="91"/>
      <c r="L59" s="92"/>
      <c r="M59" s="93">
        <f>J59*K59*L59</f>
        <v>0</v>
      </c>
      <c r="N59" s="412"/>
      <c r="O59" s="119"/>
      <c r="P59" s="89"/>
      <c r="Q59" s="90"/>
      <c r="R59" s="91"/>
      <c r="S59" s="92"/>
      <c r="T59" s="93">
        <f>Q59*R59*S59</f>
        <v>0</v>
      </c>
      <c r="U59" s="97"/>
      <c r="V59" s="96" t="s">
        <v>280</v>
      </c>
      <c r="W59" s="89"/>
      <c r="X59" s="90"/>
      <c r="Y59" s="91"/>
      <c r="Z59" s="92"/>
      <c r="AA59" s="93">
        <f>X59*Y59*Z59</f>
        <v>0</v>
      </c>
      <c r="AB59" s="97"/>
    </row>
    <row r="60" spans="1:28" s="88" customFormat="1" ht="11.25" customHeight="1">
      <c r="A60" s="434"/>
      <c r="B60" s="89" t="s">
        <v>263</v>
      </c>
      <c r="C60" s="90">
        <v>1</v>
      </c>
      <c r="D60" s="91">
        <v>15</v>
      </c>
      <c r="E60" s="92">
        <v>200</v>
      </c>
      <c r="F60" s="93">
        <f t="shared" si="26"/>
        <v>3000</v>
      </c>
      <c r="G60" s="97"/>
      <c r="H60" s="437"/>
      <c r="I60" s="89"/>
      <c r="J60" s="90"/>
      <c r="K60" s="91"/>
      <c r="L60" s="92"/>
      <c r="M60" s="93">
        <f t="shared" ref="M60:M64" si="27">J60*K60*L60</f>
        <v>0</v>
      </c>
      <c r="N60" s="97"/>
      <c r="O60" s="437"/>
      <c r="P60" s="89"/>
      <c r="Q60" s="90"/>
      <c r="R60" s="91"/>
      <c r="S60" s="92"/>
      <c r="T60" s="93">
        <f t="shared" ref="T60:T64" si="28">Q60*R60*S60</f>
        <v>0</v>
      </c>
      <c r="U60" s="97"/>
      <c r="V60" s="437"/>
      <c r="W60" s="89"/>
      <c r="X60" s="90"/>
      <c r="Y60" s="91"/>
      <c r="Z60" s="92"/>
      <c r="AA60" s="93">
        <f t="shared" ref="AA60:AA64" si="29">X60*Y60*Z60</f>
        <v>0</v>
      </c>
      <c r="AB60" s="97"/>
    </row>
    <row r="61" spans="1:28" s="88" customFormat="1" ht="11.25" customHeight="1">
      <c r="A61" s="437"/>
      <c r="B61" s="89" t="s">
        <v>281</v>
      </c>
      <c r="C61" s="90">
        <v>1</v>
      </c>
      <c r="D61" s="91">
        <v>1</v>
      </c>
      <c r="E61" s="92">
        <v>400</v>
      </c>
      <c r="F61" s="93">
        <f t="shared" si="26"/>
        <v>400</v>
      </c>
      <c r="G61" s="97"/>
      <c r="H61" s="437"/>
      <c r="I61" s="89"/>
      <c r="J61" s="90"/>
      <c r="K61" s="91"/>
      <c r="L61" s="92"/>
      <c r="M61" s="93">
        <f t="shared" si="27"/>
        <v>0</v>
      </c>
      <c r="N61" s="97"/>
      <c r="O61" s="437"/>
      <c r="P61" s="89"/>
      <c r="Q61" s="90"/>
      <c r="R61" s="91"/>
      <c r="S61" s="92"/>
      <c r="T61" s="93">
        <f t="shared" si="28"/>
        <v>0</v>
      </c>
      <c r="U61" s="97"/>
      <c r="V61" s="437"/>
      <c r="W61" s="89"/>
      <c r="X61" s="90"/>
      <c r="Y61" s="91"/>
      <c r="Z61" s="92"/>
      <c r="AA61" s="93">
        <f t="shared" si="29"/>
        <v>0</v>
      </c>
      <c r="AB61" s="97"/>
    </row>
    <row r="62" spans="1:28" s="88" customFormat="1" ht="11.25" customHeight="1">
      <c r="A62" s="437"/>
      <c r="B62" s="100"/>
      <c r="C62" s="101"/>
      <c r="D62" s="91"/>
      <c r="E62" s="91"/>
      <c r="F62" s="93">
        <f t="shared" si="26"/>
        <v>0</v>
      </c>
      <c r="G62" s="102"/>
      <c r="H62" s="438"/>
      <c r="I62" s="100"/>
      <c r="J62" s="101"/>
      <c r="K62" s="91"/>
      <c r="L62" s="91"/>
      <c r="M62" s="93">
        <f t="shared" si="27"/>
        <v>0</v>
      </c>
      <c r="N62" s="102"/>
      <c r="O62" s="438"/>
      <c r="P62" s="100"/>
      <c r="Q62" s="101"/>
      <c r="R62" s="91"/>
      <c r="S62" s="91"/>
      <c r="T62" s="93">
        <f t="shared" si="28"/>
        <v>0</v>
      </c>
      <c r="U62" s="102"/>
      <c r="V62" s="438"/>
      <c r="W62" s="100"/>
      <c r="X62" s="101"/>
      <c r="Y62" s="91"/>
      <c r="Z62" s="91"/>
      <c r="AA62" s="93">
        <f t="shared" si="29"/>
        <v>0</v>
      </c>
      <c r="AB62" s="102"/>
    </row>
    <row r="63" spans="1:28" s="88" customFormat="1">
      <c r="A63" s="98"/>
      <c r="B63" s="100"/>
      <c r="C63" s="101"/>
      <c r="D63" s="91"/>
      <c r="E63" s="91"/>
      <c r="F63" s="93">
        <f t="shared" si="26"/>
        <v>0</v>
      </c>
      <c r="G63" s="103"/>
      <c r="H63" s="104"/>
      <c r="I63" s="100"/>
      <c r="J63" s="101"/>
      <c r="K63" s="91"/>
      <c r="L63" s="91"/>
      <c r="M63" s="93">
        <f t="shared" si="27"/>
        <v>0</v>
      </c>
      <c r="N63" s="103"/>
      <c r="O63" s="104"/>
      <c r="P63" s="100"/>
      <c r="Q63" s="101"/>
      <c r="R63" s="91"/>
      <c r="S63" s="91"/>
      <c r="T63" s="93">
        <f t="shared" si="28"/>
        <v>0</v>
      </c>
      <c r="U63" s="118"/>
      <c r="V63" s="104"/>
      <c r="W63" s="100"/>
      <c r="X63" s="101"/>
      <c r="Y63" s="91"/>
      <c r="Z63" s="91"/>
      <c r="AA63" s="93">
        <f t="shared" si="29"/>
        <v>0</v>
      </c>
      <c r="AB63" s="118"/>
    </row>
    <row r="64" spans="1:28" s="88" customFormat="1" ht="13.5" customHeight="1">
      <c r="A64" s="105"/>
      <c r="B64" s="100"/>
      <c r="C64" s="101"/>
      <c r="D64" s="91"/>
      <c r="E64" s="91"/>
      <c r="F64" s="93">
        <f t="shared" si="26"/>
        <v>0</v>
      </c>
      <c r="G64" s="103"/>
      <c r="H64" s="104"/>
      <c r="I64" s="100"/>
      <c r="J64" s="101"/>
      <c r="K64" s="91"/>
      <c r="L64" s="91"/>
      <c r="M64" s="93">
        <f t="shared" si="27"/>
        <v>0</v>
      </c>
      <c r="N64" s="103"/>
      <c r="O64" s="104"/>
      <c r="P64" s="100"/>
      <c r="Q64" s="101"/>
      <c r="R64" s="91"/>
      <c r="S64" s="91"/>
      <c r="T64" s="93">
        <f t="shared" si="28"/>
        <v>0</v>
      </c>
      <c r="U64" s="412"/>
      <c r="V64" s="104"/>
      <c r="W64" s="100"/>
      <c r="X64" s="101"/>
      <c r="Y64" s="91"/>
      <c r="Z64" s="91"/>
      <c r="AA64" s="93">
        <f t="shared" si="29"/>
        <v>0</v>
      </c>
      <c r="AB64" s="412"/>
    </row>
    <row r="65" spans="1:28" s="88" customFormat="1" ht="11.25" customHeight="1">
      <c r="A65" s="106" t="s">
        <v>261</v>
      </c>
      <c r="B65" s="107"/>
      <c r="C65" s="108"/>
      <c r="D65" s="109"/>
      <c r="E65" s="110"/>
      <c r="F65" s="111">
        <f>SUM(F59:F62)</f>
        <v>30400</v>
      </c>
      <c r="G65" s="112"/>
      <c r="H65" s="113" t="s">
        <v>261</v>
      </c>
      <c r="I65" s="107"/>
      <c r="J65" s="108"/>
      <c r="K65" s="109"/>
      <c r="L65" s="110"/>
      <c r="M65" s="111">
        <f>SUM(M59:M62)</f>
        <v>0</v>
      </c>
      <c r="N65" s="112"/>
      <c r="O65" s="113" t="s">
        <v>261</v>
      </c>
      <c r="P65" s="107"/>
      <c r="Q65" s="108"/>
      <c r="R65" s="109"/>
      <c r="S65" s="110"/>
      <c r="T65" s="111">
        <f>SUM(T59:T62)</f>
        <v>0</v>
      </c>
      <c r="U65" s="97"/>
      <c r="V65" s="113" t="s">
        <v>261</v>
      </c>
      <c r="W65" s="107"/>
      <c r="X65" s="108"/>
      <c r="Y65" s="109"/>
      <c r="Z65" s="110"/>
      <c r="AA65" s="111">
        <f>SUM(AA59:AA62)</f>
        <v>0</v>
      </c>
      <c r="AB65" s="97"/>
    </row>
    <row r="66" spans="1:28" s="88" customFormat="1" ht="11.25" customHeight="1">
      <c r="A66" s="114" t="s">
        <v>282</v>
      </c>
      <c r="B66" s="89" t="s">
        <v>283</v>
      </c>
      <c r="C66" s="90">
        <v>2</v>
      </c>
      <c r="D66" s="91">
        <v>7</v>
      </c>
      <c r="E66" s="92">
        <v>400</v>
      </c>
      <c r="F66" s="93">
        <f t="shared" ref="F66:F71" si="30">C66*D66*E66</f>
        <v>5600</v>
      </c>
      <c r="G66" s="412"/>
      <c r="H66" s="115"/>
      <c r="I66" s="89"/>
      <c r="J66" s="90"/>
      <c r="K66" s="91"/>
      <c r="L66" s="92"/>
      <c r="M66" s="93">
        <f t="shared" ref="M66:M71" si="31">J66*K66*L66</f>
        <v>0</v>
      </c>
      <c r="N66" s="412"/>
      <c r="O66" s="96"/>
      <c r="P66" s="89"/>
      <c r="Q66" s="90"/>
      <c r="R66" s="91"/>
      <c r="S66" s="92"/>
      <c r="T66" s="93">
        <f t="shared" ref="T66:T71" si="32">Q66*R66*S66</f>
        <v>0</v>
      </c>
      <c r="U66" s="97"/>
      <c r="V66" s="96"/>
      <c r="W66" s="89"/>
      <c r="X66" s="90"/>
      <c r="Y66" s="91"/>
      <c r="Z66" s="92"/>
      <c r="AA66" s="93">
        <f t="shared" ref="AA66:AA71" si="33">X66*Y66*Z66</f>
        <v>0</v>
      </c>
      <c r="AB66" s="97"/>
    </row>
    <row r="67" spans="1:28" s="88" customFormat="1" ht="11.25" customHeight="1">
      <c r="A67" s="437"/>
      <c r="B67" s="89" t="s">
        <v>281</v>
      </c>
      <c r="C67" s="90">
        <v>1</v>
      </c>
      <c r="D67" s="91">
        <v>1</v>
      </c>
      <c r="E67" s="92">
        <v>400</v>
      </c>
      <c r="F67" s="93">
        <f t="shared" si="30"/>
        <v>400</v>
      </c>
      <c r="G67" s="97"/>
      <c r="H67" s="437"/>
      <c r="I67" s="89"/>
      <c r="J67" s="90"/>
      <c r="K67" s="91"/>
      <c r="L67" s="92"/>
      <c r="M67" s="93">
        <f t="shared" si="31"/>
        <v>0</v>
      </c>
      <c r="N67" s="97"/>
      <c r="O67" s="437"/>
      <c r="P67" s="89"/>
      <c r="Q67" s="90"/>
      <c r="R67" s="91"/>
      <c r="S67" s="92"/>
      <c r="T67" s="93">
        <f t="shared" si="32"/>
        <v>0</v>
      </c>
      <c r="U67" s="97"/>
      <c r="V67" s="437"/>
      <c r="W67" s="89"/>
      <c r="X67" s="90"/>
      <c r="Y67" s="91"/>
      <c r="Z67" s="92"/>
      <c r="AA67" s="93">
        <f t="shared" si="33"/>
        <v>0</v>
      </c>
      <c r="AB67" s="97"/>
    </row>
    <row r="68" spans="1:28" s="88" customFormat="1" ht="11.25" customHeight="1">
      <c r="A68" s="437"/>
      <c r="B68" s="89" t="s">
        <v>284</v>
      </c>
      <c r="C68" s="90">
        <v>2</v>
      </c>
      <c r="D68" s="91">
        <v>7</v>
      </c>
      <c r="E68" s="92">
        <v>100</v>
      </c>
      <c r="F68" s="93">
        <f t="shared" si="30"/>
        <v>1400</v>
      </c>
      <c r="G68" s="97"/>
      <c r="H68" s="437"/>
      <c r="I68" s="89"/>
      <c r="J68" s="90"/>
      <c r="K68" s="91"/>
      <c r="L68" s="92"/>
      <c r="M68" s="93">
        <f t="shared" si="31"/>
        <v>0</v>
      </c>
      <c r="N68" s="97"/>
      <c r="O68" s="437"/>
      <c r="P68" s="89"/>
      <c r="Q68" s="90"/>
      <c r="R68" s="91"/>
      <c r="S68" s="92"/>
      <c r="T68" s="93">
        <f t="shared" si="32"/>
        <v>0</v>
      </c>
      <c r="U68" s="97"/>
      <c r="V68" s="437"/>
      <c r="W68" s="89"/>
      <c r="X68" s="90"/>
      <c r="Y68" s="91"/>
      <c r="Z68" s="92"/>
      <c r="AA68" s="93">
        <f t="shared" si="33"/>
        <v>0</v>
      </c>
      <c r="AB68" s="97"/>
    </row>
    <row r="69" spans="1:28" s="88" customFormat="1" ht="11.25" customHeight="1">
      <c r="A69" s="437"/>
      <c r="B69" s="89" t="s">
        <v>263</v>
      </c>
      <c r="C69" s="90">
        <v>2</v>
      </c>
      <c r="D69" s="91">
        <v>7</v>
      </c>
      <c r="E69" s="92">
        <v>200</v>
      </c>
      <c r="F69" s="93">
        <f t="shared" si="30"/>
        <v>2800</v>
      </c>
      <c r="G69" s="97"/>
      <c r="H69" s="437"/>
      <c r="I69" s="89"/>
      <c r="J69" s="90"/>
      <c r="K69" s="91"/>
      <c r="L69" s="92"/>
      <c r="M69" s="93">
        <f t="shared" si="31"/>
        <v>0</v>
      </c>
      <c r="N69" s="97"/>
      <c r="O69" s="437"/>
      <c r="P69" s="89"/>
      <c r="Q69" s="90"/>
      <c r="R69" s="91"/>
      <c r="S69" s="92"/>
      <c r="T69" s="93">
        <f t="shared" si="32"/>
        <v>0</v>
      </c>
      <c r="U69" s="102"/>
      <c r="V69" s="437"/>
      <c r="W69" s="89"/>
      <c r="X69" s="90"/>
      <c r="Y69" s="91"/>
      <c r="Z69" s="92"/>
      <c r="AA69" s="93">
        <f t="shared" si="33"/>
        <v>0</v>
      </c>
      <c r="AB69" s="102"/>
    </row>
    <row r="70" spans="1:28" s="88" customFormat="1">
      <c r="A70" s="437"/>
      <c r="B70" s="89"/>
      <c r="C70" s="90"/>
      <c r="D70" s="91"/>
      <c r="E70" s="92"/>
      <c r="F70" s="93">
        <f t="shared" si="30"/>
        <v>0</v>
      </c>
      <c r="G70" s="97"/>
      <c r="H70" s="437"/>
      <c r="I70" s="89"/>
      <c r="J70" s="90"/>
      <c r="K70" s="91"/>
      <c r="L70" s="92"/>
      <c r="M70" s="93">
        <f t="shared" si="31"/>
        <v>0</v>
      </c>
      <c r="N70" s="97"/>
      <c r="O70" s="437"/>
      <c r="P70" s="89"/>
      <c r="Q70" s="90"/>
      <c r="R70" s="91"/>
      <c r="S70" s="92"/>
      <c r="T70" s="93">
        <f t="shared" si="32"/>
        <v>0</v>
      </c>
      <c r="U70" s="118"/>
      <c r="V70" s="437"/>
      <c r="W70" s="89"/>
      <c r="X70" s="90"/>
      <c r="Y70" s="91"/>
      <c r="Z70" s="92"/>
      <c r="AA70" s="93">
        <f t="shared" si="33"/>
        <v>0</v>
      </c>
      <c r="AB70" s="118"/>
    </row>
    <row r="71" spans="1:28" s="88" customFormat="1" ht="11.25" customHeight="1">
      <c r="A71" s="438"/>
      <c r="B71" s="100"/>
      <c r="C71" s="101"/>
      <c r="D71" s="91"/>
      <c r="E71" s="91"/>
      <c r="F71" s="93">
        <f t="shared" si="30"/>
        <v>0</v>
      </c>
      <c r="G71" s="102"/>
      <c r="H71" s="438"/>
      <c r="I71" s="100"/>
      <c r="J71" s="101"/>
      <c r="K71" s="91"/>
      <c r="L71" s="91"/>
      <c r="M71" s="93">
        <f t="shared" si="31"/>
        <v>0</v>
      </c>
      <c r="N71" s="102"/>
      <c r="O71" s="438"/>
      <c r="P71" s="100"/>
      <c r="Q71" s="101"/>
      <c r="R71" s="91"/>
      <c r="S71" s="91"/>
      <c r="T71" s="93">
        <f t="shared" si="32"/>
        <v>0</v>
      </c>
      <c r="U71" s="412"/>
      <c r="V71" s="438"/>
      <c r="W71" s="100"/>
      <c r="X71" s="101"/>
      <c r="Y71" s="91"/>
      <c r="Z71" s="91"/>
      <c r="AA71" s="93">
        <f t="shared" si="33"/>
        <v>0</v>
      </c>
      <c r="AB71" s="412"/>
    </row>
    <row r="72" spans="1:28" s="88" customFormat="1" ht="11.25" customHeight="1">
      <c r="A72" s="107" t="s">
        <v>261</v>
      </c>
      <c r="B72" s="107"/>
      <c r="C72" s="108"/>
      <c r="D72" s="109"/>
      <c r="E72" s="110"/>
      <c r="F72" s="111">
        <f>SUM(F66:F71)</f>
        <v>10200</v>
      </c>
      <c r="G72" s="118"/>
      <c r="H72" s="116" t="s">
        <v>261</v>
      </c>
      <c r="I72" s="107"/>
      <c r="J72" s="108"/>
      <c r="K72" s="109"/>
      <c r="L72" s="110"/>
      <c r="M72" s="111">
        <f>SUM(M66:M71)</f>
        <v>0</v>
      </c>
      <c r="N72" s="118"/>
      <c r="O72" s="116" t="s">
        <v>261</v>
      </c>
      <c r="P72" s="107"/>
      <c r="Q72" s="108"/>
      <c r="R72" s="109"/>
      <c r="S72" s="110"/>
      <c r="T72" s="111">
        <f>SUM(T66:T71)</f>
        <v>0</v>
      </c>
      <c r="U72" s="97"/>
      <c r="V72" s="116" t="s">
        <v>261</v>
      </c>
      <c r="W72" s="107"/>
      <c r="X72" s="108"/>
      <c r="Y72" s="109"/>
      <c r="Z72" s="110"/>
      <c r="AA72" s="111">
        <f>SUM(AA66:AA71)</f>
        <v>0</v>
      </c>
      <c r="AB72" s="97"/>
    </row>
    <row r="73" spans="1:28" s="88" customFormat="1" ht="11.25" customHeight="1">
      <c r="A73" s="413" t="s">
        <v>285</v>
      </c>
      <c r="B73" s="89" t="s">
        <v>286</v>
      </c>
      <c r="C73" s="90">
        <v>6</v>
      </c>
      <c r="D73" s="91">
        <v>2</v>
      </c>
      <c r="E73" s="92">
        <v>4500</v>
      </c>
      <c r="F73" s="93">
        <f t="shared" ref="F73:F78" si="34">C73*D73*E73</f>
        <v>54000</v>
      </c>
      <c r="G73" s="412"/>
      <c r="H73" s="96"/>
      <c r="I73" s="89"/>
      <c r="J73" s="90"/>
      <c r="K73" s="91"/>
      <c r="L73" s="92"/>
      <c r="M73" s="93">
        <f t="shared" ref="M73:M78" si="35">J73*K73*L73</f>
        <v>0</v>
      </c>
      <c r="N73" s="412"/>
      <c r="O73" s="96"/>
      <c r="P73" s="89"/>
      <c r="Q73" s="90"/>
      <c r="R73" s="91"/>
      <c r="S73" s="92"/>
      <c r="T73" s="93">
        <f t="shared" ref="T73:T78" si="36">Q73*R73*S73</f>
        <v>0</v>
      </c>
      <c r="U73" s="97"/>
      <c r="V73" s="96"/>
      <c r="W73" s="89"/>
      <c r="X73" s="90"/>
      <c r="Y73" s="91"/>
      <c r="Z73" s="92"/>
      <c r="AA73" s="93">
        <f t="shared" ref="AA73:AA78" si="37">X73*Y73*Z73</f>
        <v>0</v>
      </c>
      <c r="AB73" s="97"/>
    </row>
    <row r="74" spans="1:28" s="88" customFormat="1" ht="11.25" customHeight="1">
      <c r="A74" s="434"/>
      <c r="B74" s="89" t="s">
        <v>287</v>
      </c>
      <c r="C74" s="90">
        <v>10</v>
      </c>
      <c r="D74" s="91">
        <v>5</v>
      </c>
      <c r="E74" s="92">
        <v>160</v>
      </c>
      <c r="F74" s="93">
        <f t="shared" si="34"/>
        <v>8000</v>
      </c>
      <c r="G74" s="97"/>
      <c r="H74" s="439"/>
      <c r="I74" s="89"/>
      <c r="J74" s="90"/>
      <c r="K74" s="91"/>
      <c r="L74" s="92"/>
      <c r="M74" s="93">
        <f t="shared" si="35"/>
        <v>0</v>
      </c>
      <c r="N74" s="97"/>
      <c r="O74" s="117"/>
      <c r="P74" s="89"/>
      <c r="Q74" s="90"/>
      <c r="R74" s="91"/>
      <c r="S74" s="92"/>
      <c r="T74" s="93">
        <f t="shared" si="36"/>
        <v>0</v>
      </c>
      <c r="U74" s="97"/>
      <c r="V74" s="117"/>
      <c r="W74" s="89"/>
      <c r="X74" s="90"/>
      <c r="Y74" s="91"/>
      <c r="Z74" s="92"/>
      <c r="AA74" s="93">
        <f t="shared" si="37"/>
        <v>0</v>
      </c>
      <c r="AB74" s="97"/>
    </row>
    <row r="75" spans="1:28" s="88" customFormat="1" ht="11.25" customHeight="1">
      <c r="A75" s="437"/>
      <c r="B75" s="89"/>
      <c r="C75" s="90"/>
      <c r="D75" s="91"/>
      <c r="E75" s="92"/>
      <c r="F75" s="93">
        <f t="shared" si="34"/>
        <v>0</v>
      </c>
      <c r="G75" s="97"/>
      <c r="H75" s="440"/>
      <c r="I75" s="89"/>
      <c r="J75" s="90"/>
      <c r="K75" s="91"/>
      <c r="L75" s="92"/>
      <c r="M75" s="93">
        <f t="shared" si="35"/>
        <v>0</v>
      </c>
      <c r="N75" s="97"/>
      <c r="O75" s="117"/>
      <c r="P75" s="89"/>
      <c r="Q75" s="90"/>
      <c r="R75" s="91"/>
      <c r="S75" s="92"/>
      <c r="T75" s="93">
        <f t="shared" si="36"/>
        <v>0</v>
      </c>
      <c r="U75" s="97"/>
      <c r="V75" s="117"/>
      <c r="W75" s="89"/>
      <c r="X75" s="90"/>
      <c r="Y75" s="91"/>
      <c r="Z75" s="92"/>
      <c r="AA75" s="93">
        <f t="shared" si="37"/>
        <v>0</v>
      </c>
      <c r="AB75" s="97"/>
    </row>
    <row r="76" spans="1:28" s="88" customFormat="1" ht="11.25" customHeight="1">
      <c r="A76" s="437"/>
      <c r="B76" s="89"/>
      <c r="C76" s="90"/>
      <c r="D76" s="91"/>
      <c r="E76" s="92"/>
      <c r="F76" s="93">
        <f t="shared" si="34"/>
        <v>0</v>
      </c>
      <c r="G76" s="97"/>
      <c r="H76" s="440"/>
      <c r="I76" s="89"/>
      <c r="J76" s="90"/>
      <c r="K76" s="91"/>
      <c r="L76" s="92"/>
      <c r="M76" s="93">
        <f t="shared" si="35"/>
        <v>0</v>
      </c>
      <c r="N76" s="97"/>
      <c r="O76" s="117"/>
      <c r="P76" s="89"/>
      <c r="Q76" s="90"/>
      <c r="R76" s="91"/>
      <c r="S76" s="92"/>
      <c r="T76" s="93">
        <f t="shared" si="36"/>
        <v>0</v>
      </c>
      <c r="U76" s="102"/>
      <c r="V76" s="117"/>
      <c r="W76" s="89"/>
      <c r="X76" s="90"/>
      <c r="Y76" s="91"/>
      <c r="Z76" s="92"/>
      <c r="AA76" s="93">
        <f t="shared" si="37"/>
        <v>0</v>
      </c>
      <c r="AB76" s="102"/>
    </row>
    <row r="77" spans="1:28" s="88" customFormat="1">
      <c r="A77" s="437"/>
      <c r="B77" s="89"/>
      <c r="C77" s="90"/>
      <c r="D77" s="91"/>
      <c r="E77" s="92"/>
      <c r="F77" s="93">
        <f t="shared" si="34"/>
        <v>0</v>
      </c>
      <c r="G77" s="97"/>
      <c r="H77" s="440"/>
      <c r="I77" s="89"/>
      <c r="J77" s="90"/>
      <c r="K77" s="91"/>
      <c r="L77" s="92"/>
      <c r="M77" s="93">
        <f t="shared" si="35"/>
        <v>0</v>
      </c>
      <c r="N77" s="97"/>
      <c r="O77" s="437"/>
      <c r="P77" s="89"/>
      <c r="Q77" s="90"/>
      <c r="R77" s="91"/>
      <c r="S77" s="92"/>
      <c r="T77" s="93">
        <f t="shared" si="36"/>
        <v>0</v>
      </c>
      <c r="U77" s="118"/>
      <c r="V77" s="437"/>
      <c r="W77" s="89"/>
      <c r="X77" s="90"/>
      <c r="Y77" s="91"/>
      <c r="Z77" s="92"/>
      <c r="AA77" s="93">
        <f t="shared" si="37"/>
        <v>0</v>
      </c>
      <c r="AB77" s="118"/>
    </row>
    <row r="78" spans="1:28" s="88" customFormat="1">
      <c r="A78" s="438"/>
      <c r="B78" s="100"/>
      <c r="C78" s="101"/>
      <c r="D78" s="91"/>
      <c r="E78" s="91"/>
      <c r="F78" s="93">
        <f t="shared" si="34"/>
        <v>0</v>
      </c>
      <c r="G78" s="102"/>
      <c r="H78" s="441"/>
      <c r="I78" s="100"/>
      <c r="J78" s="101"/>
      <c r="K78" s="91"/>
      <c r="L78" s="91"/>
      <c r="M78" s="93">
        <f t="shared" si="35"/>
        <v>0</v>
      </c>
      <c r="N78" s="102"/>
      <c r="O78" s="438"/>
      <c r="P78" s="100"/>
      <c r="Q78" s="101"/>
      <c r="R78" s="91"/>
      <c r="S78" s="91"/>
      <c r="T78" s="93">
        <f t="shared" si="36"/>
        <v>0</v>
      </c>
      <c r="U78" s="412"/>
      <c r="V78" s="438"/>
      <c r="W78" s="100"/>
      <c r="X78" s="101"/>
      <c r="Y78" s="91"/>
      <c r="Z78" s="91"/>
      <c r="AA78" s="93">
        <f t="shared" si="37"/>
        <v>0</v>
      </c>
      <c r="AB78" s="412"/>
    </row>
    <row r="79" spans="1:28" s="88" customFormat="1" ht="11.25" customHeight="1">
      <c r="A79" s="106" t="s">
        <v>261</v>
      </c>
      <c r="B79" s="107"/>
      <c r="C79" s="108"/>
      <c r="D79" s="109"/>
      <c r="E79" s="110"/>
      <c r="F79" s="111">
        <f>SUM(F73:F78)</f>
        <v>62000</v>
      </c>
      <c r="G79" s="118"/>
      <c r="H79" s="116" t="s">
        <v>261</v>
      </c>
      <c r="I79" s="107"/>
      <c r="J79" s="108"/>
      <c r="K79" s="109"/>
      <c r="L79" s="110"/>
      <c r="M79" s="111">
        <f>SUM(M73:M78)</f>
        <v>0</v>
      </c>
      <c r="N79" s="118"/>
      <c r="O79" s="116" t="s">
        <v>261</v>
      </c>
      <c r="P79" s="107"/>
      <c r="Q79" s="108"/>
      <c r="R79" s="109"/>
      <c r="S79" s="110"/>
      <c r="T79" s="111">
        <f>SUM(T73:T78)</f>
        <v>0</v>
      </c>
      <c r="U79" s="97"/>
      <c r="V79" s="116" t="s">
        <v>261</v>
      </c>
      <c r="W79" s="107"/>
      <c r="X79" s="108"/>
      <c r="Y79" s="109"/>
      <c r="Z79" s="110"/>
      <c r="AA79" s="111">
        <f>SUM(AA73:AA78)</f>
        <v>0</v>
      </c>
      <c r="AB79" s="97"/>
    </row>
    <row r="80" spans="1:28" s="88" customFormat="1" ht="11.25" customHeight="1">
      <c r="A80" s="114" t="s">
        <v>288</v>
      </c>
      <c r="B80" s="89" t="s">
        <v>289</v>
      </c>
      <c r="C80" s="90">
        <v>3</v>
      </c>
      <c r="D80" s="91">
        <v>2</v>
      </c>
      <c r="E80" s="92">
        <v>4500</v>
      </c>
      <c r="F80" s="93">
        <f t="shared" ref="F80:F85" si="38">C80*D80*E80</f>
        <v>27000</v>
      </c>
      <c r="G80" s="412"/>
      <c r="H80" s="96"/>
      <c r="I80" s="89"/>
      <c r="J80" s="90"/>
      <c r="K80" s="91"/>
      <c r="L80" s="92"/>
      <c r="M80" s="93">
        <f t="shared" ref="M80:M85" si="39">J80*K80*L80</f>
        <v>0</v>
      </c>
      <c r="N80" s="412"/>
      <c r="O80" s="96"/>
      <c r="P80" s="89"/>
      <c r="Q80" s="90"/>
      <c r="R80" s="91"/>
      <c r="S80" s="92"/>
      <c r="T80" s="93">
        <f t="shared" ref="T80:T85" si="40">Q80*R80*S80</f>
        <v>0</v>
      </c>
      <c r="U80" s="97"/>
      <c r="V80" s="96"/>
      <c r="W80" s="89"/>
      <c r="X80" s="90"/>
      <c r="Y80" s="91"/>
      <c r="Z80" s="92"/>
      <c r="AA80" s="93">
        <f t="shared" ref="AA80:AA85" si="41">X80*Y80*Z80</f>
        <v>0</v>
      </c>
      <c r="AB80" s="97"/>
    </row>
    <row r="81" spans="1:28" s="88" customFormat="1" ht="11.25" customHeight="1">
      <c r="A81" s="437"/>
      <c r="B81" s="89"/>
      <c r="C81" s="90"/>
      <c r="D81" s="91"/>
      <c r="E81" s="92"/>
      <c r="F81" s="93">
        <f t="shared" si="38"/>
        <v>0</v>
      </c>
      <c r="G81" s="97"/>
      <c r="H81" s="437"/>
      <c r="I81" s="89"/>
      <c r="J81" s="90"/>
      <c r="K81" s="91"/>
      <c r="L81" s="92"/>
      <c r="M81" s="93">
        <f t="shared" si="39"/>
        <v>0</v>
      </c>
      <c r="N81" s="97"/>
      <c r="O81" s="437"/>
      <c r="P81" s="89"/>
      <c r="Q81" s="90"/>
      <c r="R81" s="91"/>
      <c r="S81" s="92"/>
      <c r="T81" s="93">
        <f t="shared" si="40"/>
        <v>0</v>
      </c>
      <c r="U81" s="97"/>
      <c r="V81" s="437"/>
      <c r="W81" s="89"/>
      <c r="X81" s="90"/>
      <c r="Y81" s="91"/>
      <c r="Z81" s="92"/>
      <c r="AA81" s="93">
        <f t="shared" si="41"/>
        <v>0</v>
      </c>
      <c r="AB81" s="97"/>
    </row>
    <row r="82" spans="1:28" s="88" customFormat="1" ht="11.25" customHeight="1">
      <c r="A82" s="437"/>
      <c r="B82" s="89"/>
      <c r="C82" s="90"/>
      <c r="D82" s="91"/>
      <c r="E82" s="92"/>
      <c r="F82" s="93">
        <f t="shared" si="38"/>
        <v>0</v>
      </c>
      <c r="G82" s="97"/>
      <c r="H82" s="437"/>
      <c r="I82" s="89"/>
      <c r="J82" s="90"/>
      <c r="K82" s="91"/>
      <c r="L82" s="92"/>
      <c r="M82" s="93">
        <f t="shared" si="39"/>
        <v>0</v>
      </c>
      <c r="N82" s="97"/>
      <c r="O82" s="437"/>
      <c r="P82" s="89"/>
      <c r="Q82" s="90"/>
      <c r="R82" s="91"/>
      <c r="S82" s="92"/>
      <c r="T82" s="93">
        <f t="shared" si="40"/>
        <v>0</v>
      </c>
      <c r="U82" s="97"/>
      <c r="V82" s="437"/>
      <c r="W82" s="89"/>
      <c r="X82" s="90"/>
      <c r="Y82" s="91"/>
      <c r="Z82" s="92"/>
      <c r="AA82" s="93">
        <f t="shared" si="41"/>
        <v>0</v>
      </c>
      <c r="AB82" s="97"/>
    </row>
    <row r="83" spans="1:28" s="88" customFormat="1" ht="11.25" customHeight="1">
      <c r="A83" s="437"/>
      <c r="B83" s="89"/>
      <c r="C83" s="90"/>
      <c r="D83" s="91"/>
      <c r="E83" s="92"/>
      <c r="F83" s="93">
        <f t="shared" si="38"/>
        <v>0</v>
      </c>
      <c r="G83" s="97"/>
      <c r="H83" s="437"/>
      <c r="I83" s="89"/>
      <c r="J83" s="90"/>
      <c r="K83" s="91"/>
      <c r="L83" s="92"/>
      <c r="M83" s="93">
        <f t="shared" si="39"/>
        <v>0</v>
      </c>
      <c r="N83" s="97"/>
      <c r="O83" s="437"/>
      <c r="P83" s="89"/>
      <c r="Q83" s="90"/>
      <c r="R83" s="91"/>
      <c r="S83" s="92"/>
      <c r="T83" s="93">
        <f t="shared" si="40"/>
        <v>0</v>
      </c>
      <c r="U83" s="102"/>
      <c r="V83" s="437"/>
      <c r="W83" s="89"/>
      <c r="X83" s="90"/>
      <c r="Y83" s="91"/>
      <c r="Z83" s="92"/>
      <c r="AA83" s="93">
        <f t="shared" si="41"/>
        <v>0</v>
      </c>
      <c r="AB83" s="102"/>
    </row>
    <row r="84" spans="1:28" s="88" customFormat="1">
      <c r="A84" s="437"/>
      <c r="B84" s="89"/>
      <c r="C84" s="90"/>
      <c r="D84" s="91"/>
      <c r="E84" s="92"/>
      <c r="F84" s="93">
        <f t="shared" si="38"/>
        <v>0</v>
      </c>
      <c r="G84" s="97"/>
      <c r="H84" s="437"/>
      <c r="I84" s="89"/>
      <c r="J84" s="90"/>
      <c r="K84" s="91"/>
      <c r="L84" s="92"/>
      <c r="M84" s="93">
        <f t="shared" si="39"/>
        <v>0</v>
      </c>
      <c r="N84" s="97"/>
      <c r="O84" s="437"/>
      <c r="P84" s="89"/>
      <c r="Q84" s="90"/>
      <c r="R84" s="91"/>
      <c r="S84" s="92"/>
      <c r="T84" s="93">
        <f t="shared" si="40"/>
        <v>0</v>
      </c>
      <c r="U84" s="118"/>
      <c r="V84" s="437"/>
      <c r="W84" s="89"/>
      <c r="X84" s="90"/>
      <c r="Y84" s="91"/>
      <c r="Z84" s="92"/>
      <c r="AA84" s="93">
        <f t="shared" si="41"/>
        <v>0</v>
      </c>
      <c r="AB84" s="118"/>
    </row>
    <row r="85" spans="1:28" s="121" customFormat="1" ht="15" customHeight="1" thickBot="1">
      <c r="A85" s="438"/>
      <c r="B85" s="100"/>
      <c r="C85" s="101"/>
      <c r="D85" s="91"/>
      <c r="E85" s="91"/>
      <c r="F85" s="93">
        <f t="shared" si="38"/>
        <v>0</v>
      </c>
      <c r="G85" s="102"/>
      <c r="H85" s="438"/>
      <c r="I85" s="100"/>
      <c r="J85" s="101"/>
      <c r="K85" s="91"/>
      <c r="L85" s="91"/>
      <c r="M85" s="93">
        <f t="shared" si="39"/>
        <v>0</v>
      </c>
      <c r="N85" s="102"/>
      <c r="O85" s="438"/>
      <c r="P85" s="100"/>
      <c r="Q85" s="101"/>
      <c r="R85" s="91"/>
      <c r="S85" s="91"/>
      <c r="T85" s="93">
        <f t="shared" si="40"/>
        <v>0</v>
      </c>
      <c r="U85" s="120">
        <v>1</v>
      </c>
      <c r="V85" s="438"/>
      <c r="W85" s="100"/>
      <c r="X85" s="101"/>
      <c r="Y85" s="91"/>
      <c r="Z85" s="91"/>
      <c r="AA85" s="93">
        <f t="shared" si="41"/>
        <v>0</v>
      </c>
      <c r="AB85" s="120">
        <v>1</v>
      </c>
    </row>
    <row r="86" spans="1:28">
      <c r="A86" s="107" t="s">
        <v>261</v>
      </c>
      <c r="B86" s="107"/>
      <c r="C86" s="108"/>
      <c r="D86" s="109"/>
      <c r="E86" s="110"/>
      <c r="F86" s="111">
        <f>SUM(F80:F85)</f>
        <v>27000</v>
      </c>
      <c r="G86" s="118"/>
      <c r="H86" s="116" t="s">
        <v>261</v>
      </c>
      <c r="I86" s="107"/>
      <c r="J86" s="108"/>
      <c r="K86" s="109"/>
      <c r="L86" s="110"/>
      <c r="M86" s="111">
        <f>SUM(M80:M85)</f>
        <v>0</v>
      </c>
      <c r="N86" s="118"/>
      <c r="O86" s="116" t="s">
        <v>261</v>
      </c>
      <c r="P86" s="107"/>
      <c r="Q86" s="108"/>
      <c r="R86" s="109"/>
      <c r="S86" s="110"/>
      <c r="T86" s="111">
        <f>SUM(T80:T85)</f>
        <v>0</v>
      </c>
      <c r="V86" s="116" t="s">
        <v>261</v>
      </c>
      <c r="W86" s="107"/>
      <c r="X86" s="108"/>
      <c r="Y86" s="109"/>
      <c r="Z86" s="110"/>
      <c r="AA86" s="111">
        <f>SUM(AA80:AA85)</f>
        <v>0</v>
      </c>
    </row>
    <row r="87" spans="1:28" ht="14.5">
      <c r="A87" s="114" t="s">
        <v>290</v>
      </c>
      <c r="B87" s="89" t="s">
        <v>283</v>
      </c>
      <c r="C87" s="90">
        <v>4</v>
      </c>
      <c r="D87" s="91">
        <v>7</v>
      </c>
      <c r="E87" s="92">
        <v>400</v>
      </c>
      <c r="F87" s="93">
        <f t="shared" ref="F87:F95" si="42">C87*D87*E87</f>
        <v>11200</v>
      </c>
      <c r="G87" s="412"/>
      <c r="H87" s="96"/>
      <c r="I87" s="89"/>
      <c r="J87" s="90"/>
      <c r="K87" s="91"/>
      <c r="L87" s="92"/>
      <c r="M87" s="93">
        <f t="shared" ref="M87:M95" si="43">J87*K87*L87</f>
        <v>0</v>
      </c>
      <c r="N87" s="412"/>
      <c r="O87" s="147" t="s">
        <v>291</v>
      </c>
      <c r="P87" s="89" t="s">
        <v>253</v>
      </c>
      <c r="Q87" s="90"/>
      <c r="R87" s="91"/>
      <c r="S87" s="92"/>
      <c r="T87" s="93"/>
      <c r="V87" s="96"/>
      <c r="W87" s="89"/>
      <c r="X87" s="90"/>
      <c r="Y87" s="91"/>
      <c r="Z87" s="92"/>
      <c r="AA87" s="93">
        <f t="shared" ref="AA87:AA95" si="44">X87*Y87*Z87</f>
        <v>0</v>
      </c>
    </row>
    <row r="88" spans="1:28" ht="12.5">
      <c r="A88" s="201"/>
      <c r="B88" s="89"/>
      <c r="C88" s="90"/>
      <c r="D88" s="91"/>
      <c r="E88" s="92"/>
      <c r="F88" s="93"/>
      <c r="G88" s="97"/>
      <c r="H88" s="95"/>
      <c r="I88" s="89"/>
      <c r="J88" s="90"/>
      <c r="K88" s="91"/>
      <c r="L88" s="92"/>
      <c r="M88" s="93"/>
      <c r="N88" s="97"/>
      <c r="O88" s="434"/>
      <c r="P88" s="89" t="s">
        <v>256</v>
      </c>
      <c r="Q88" s="90">
        <v>2</v>
      </c>
      <c r="R88" s="91">
        <v>11</v>
      </c>
      <c r="S88" s="92">
        <v>600</v>
      </c>
      <c r="T88" s="93">
        <f>Q88*R88*S88</f>
        <v>13200</v>
      </c>
      <c r="V88" s="95"/>
      <c r="W88" s="89"/>
      <c r="X88" s="90"/>
      <c r="Y88" s="91"/>
      <c r="Z88" s="92"/>
      <c r="AA88" s="93"/>
    </row>
    <row r="89" spans="1:28" ht="12.5">
      <c r="A89" s="201"/>
      <c r="B89" s="89"/>
      <c r="C89" s="90"/>
      <c r="D89" s="91"/>
      <c r="E89" s="92"/>
      <c r="F89" s="93"/>
      <c r="G89" s="97"/>
      <c r="H89" s="95"/>
      <c r="I89" s="89"/>
      <c r="J89" s="90"/>
      <c r="K89" s="91"/>
      <c r="L89" s="92"/>
      <c r="M89" s="93"/>
      <c r="N89" s="97"/>
      <c r="O89" s="435"/>
      <c r="P89" s="89" t="s">
        <v>265</v>
      </c>
      <c r="Q89" s="90">
        <v>2</v>
      </c>
      <c r="R89" s="91">
        <v>1</v>
      </c>
      <c r="S89" s="92">
        <v>1000</v>
      </c>
      <c r="T89" s="93">
        <f t="shared" ref="T89:T94" si="45">Q89*R89*S89</f>
        <v>2000</v>
      </c>
      <c r="V89" s="95"/>
      <c r="W89" s="89"/>
      <c r="X89" s="90"/>
      <c r="Y89" s="91"/>
      <c r="Z89" s="92"/>
      <c r="AA89" s="93"/>
    </row>
    <row r="90" spans="1:28" ht="12.5">
      <c r="A90" s="201"/>
      <c r="B90" s="89"/>
      <c r="C90" s="90"/>
      <c r="D90" s="91"/>
      <c r="E90" s="92"/>
      <c r="F90" s="93"/>
      <c r="G90" s="97"/>
      <c r="H90" s="95"/>
      <c r="I90" s="89"/>
      <c r="J90" s="90"/>
      <c r="K90" s="91"/>
      <c r="L90" s="92"/>
      <c r="M90" s="93"/>
      <c r="N90" s="97"/>
      <c r="O90" s="435"/>
      <c r="P90" s="89" t="s">
        <v>292</v>
      </c>
      <c r="Q90" s="90">
        <v>2</v>
      </c>
      <c r="R90" s="91">
        <v>28</v>
      </c>
      <c r="S90" s="92">
        <v>180</v>
      </c>
      <c r="T90" s="93">
        <f t="shared" si="45"/>
        <v>10080</v>
      </c>
      <c r="V90" s="95"/>
      <c r="W90" s="89"/>
      <c r="X90" s="90"/>
      <c r="Y90" s="91"/>
      <c r="Z90" s="92"/>
      <c r="AA90" s="93"/>
    </row>
    <row r="91" spans="1:28">
      <c r="A91" s="437"/>
      <c r="B91" s="89" t="s">
        <v>281</v>
      </c>
      <c r="C91" s="90">
        <v>2</v>
      </c>
      <c r="D91" s="91">
        <v>1</v>
      </c>
      <c r="E91" s="92">
        <v>400</v>
      </c>
      <c r="F91" s="93">
        <f t="shared" si="42"/>
        <v>800</v>
      </c>
      <c r="G91" s="97"/>
      <c r="H91" s="437"/>
      <c r="I91" s="89"/>
      <c r="J91" s="90"/>
      <c r="K91" s="91"/>
      <c r="L91" s="92"/>
      <c r="M91" s="93">
        <f t="shared" si="43"/>
        <v>0</v>
      </c>
      <c r="N91" s="97"/>
      <c r="O91" s="435"/>
      <c r="P91" s="89" t="s">
        <v>257</v>
      </c>
      <c r="Q91" s="90">
        <v>2</v>
      </c>
      <c r="R91" s="91">
        <v>11</v>
      </c>
      <c r="S91" s="92">
        <v>225</v>
      </c>
      <c r="T91" s="93">
        <f t="shared" si="45"/>
        <v>4950</v>
      </c>
      <c r="V91" s="437"/>
      <c r="W91" s="89"/>
      <c r="X91" s="90"/>
      <c r="Y91" s="91"/>
      <c r="Z91" s="92"/>
      <c r="AA91" s="93">
        <f t="shared" si="44"/>
        <v>0</v>
      </c>
    </row>
    <row r="92" spans="1:28">
      <c r="A92" s="437"/>
      <c r="B92" s="89" t="s">
        <v>284</v>
      </c>
      <c r="C92" s="90">
        <v>4</v>
      </c>
      <c r="D92" s="91">
        <v>7</v>
      </c>
      <c r="E92" s="92">
        <v>100</v>
      </c>
      <c r="F92" s="93">
        <f t="shared" si="42"/>
        <v>2800</v>
      </c>
      <c r="G92" s="97"/>
      <c r="H92" s="437"/>
      <c r="I92" s="89"/>
      <c r="J92" s="90"/>
      <c r="K92" s="91"/>
      <c r="L92" s="92"/>
      <c r="M92" s="93">
        <f t="shared" si="43"/>
        <v>0</v>
      </c>
      <c r="N92" s="97"/>
      <c r="O92" s="435"/>
      <c r="P92" s="89" t="s">
        <v>259</v>
      </c>
      <c r="Q92" s="90">
        <v>1</v>
      </c>
      <c r="R92" s="91">
        <v>1</v>
      </c>
      <c r="S92" s="92">
        <v>200</v>
      </c>
      <c r="T92" s="93">
        <f t="shared" si="45"/>
        <v>200</v>
      </c>
      <c r="V92" s="437"/>
      <c r="W92" s="89"/>
      <c r="X92" s="90"/>
      <c r="Y92" s="91"/>
      <c r="Z92" s="92"/>
      <c r="AA92" s="93">
        <f t="shared" si="44"/>
        <v>0</v>
      </c>
    </row>
    <row r="93" spans="1:28">
      <c r="A93" s="437"/>
      <c r="B93" s="89" t="s">
        <v>263</v>
      </c>
      <c r="C93" s="90">
        <v>4</v>
      </c>
      <c r="D93" s="91">
        <v>7</v>
      </c>
      <c r="E93" s="92">
        <v>200</v>
      </c>
      <c r="F93" s="93">
        <f t="shared" si="42"/>
        <v>5600</v>
      </c>
      <c r="G93" s="97"/>
      <c r="H93" s="437"/>
      <c r="I93" s="89"/>
      <c r="J93" s="90"/>
      <c r="K93" s="91"/>
      <c r="L93" s="92"/>
      <c r="M93" s="93">
        <f t="shared" si="43"/>
        <v>0</v>
      </c>
      <c r="N93" s="97"/>
      <c r="O93" s="435"/>
      <c r="P93" s="89"/>
      <c r="Q93" s="90"/>
      <c r="R93" s="91"/>
      <c r="S93" s="92"/>
      <c r="T93" s="93">
        <f t="shared" si="45"/>
        <v>0</v>
      </c>
      <c r="V93" s="437"/>
      <c r="W93" s="89"/>
      <c r="X93" s="90"/>
      <c r="Y93" s="91"/>
      <c r="Z93" s="92"/>
      <c r="AA93" s="93">
        <f t="shared" si="44"/>
        <v>0</v>
      </c>
    </row>
    <row r="94" spans="1:28">
      <c r="A94" s="437"/>
      <c r="B94" s="89"/>
      <c r="C94" s="90"/>
      <c r="D94" s="91"/>
      <c r="E94" s="92"/>
      <c r="F94" s="93">
        <f t="shared" si="42"/>
        <v>0</v>
      </c>
      <c r="G94" s="97"/>
      <c r="H94" s="437"/>
      <c r="I94" s="89"/>
      <c r="J94" s="90"/>
      <c r="K94" s="91"/>
      <c r="L94" s="92"/>
      <c r="M94" s="93">
        <f t="shared" si="43"/>
        <v>0</v>
      </c>
      <c r="N94" s="97"/>
      <c r="O94" s="436"/>
      <c r="P94" s="89" t="s">
        <v>267</v>
      </c>
      <c r="Q94" s="90">
        <v>1</v>
      </c>
      <c r="R94" s="91">
        <v>1</v>
      </c>
      <c r="S94" s="92">
        <v>200</v>
      </c>
      <c r="T94" s="93">
        <f t="shared" si="45"/>
        <v>200</v>
      </c>
      <c r="V94" s="437"/>
      <c r="W94" s="89"/>
      <c r="X94" s="90"/>
      <c r="Y94" s="91"/>
      <c r="Z94" s="92"/>
      <c r="AA94" s="93">
        <f t="shared" si="44"/>
        <v>0</v>
      </c>
    </row>
    <row r="95" spans="1:28">
      <c r="A95" s="438"/>
      <c r="B95" s="100"/>
      <c r="C95" s="101"/>
      <c r="D95" s="91"/>
      <c r="E95" s="91"/>
      <c r="F95" s="93">
        <f t="shared" si="42"/>
        <v>0</v>
      </c>
      <c r="G95" s="102"/>
      <c r="H95" s="438"/>
      <c r="I95" s="100"/>
      <c r="J95" s="101"/>
      <c r="K95" s="91"/>
      <c r="L95" s="91"/>
      <c r="M95" s="93">
        <f t="shared" si="43"/>
        <v>0</v>
      </c>
      <c r="N95" s="102"/>
      <c r="O95" s="199"/>
      <c r="P95" s="100" t="s">
        <v>293</v>
      </c>
      <c r="Q95" s="101">
        <v>1</v>
      </c>
      <c r="R95" s="91">
        <v>1</v>
      </c>
      <c r="S95" s="91">
        <v>10000</v>
      </c>
      <c r="T95" s="93">
        <f>Q95*R95*S95</f>
        <v>10000</v>
      </c>
      <c r="V95" s="438"/>
      <c r="W95" s="100"/>
      <c r="X95" s="101"/>
      <c r="Y95" s="91"/>
      <c r="Z95" s="91"/>
      <c r="AA95" s="93">
        <f t="shared" si="44"/>
        <v>0</v>
      </c>
    </row>
    <row r="96" spans="1:28">
      <c r="A96" s="107" t="s">
        <v>261</v>
      </c>
      <c r="B96" s="107"/>
      <c r="C96" s="108"/>
      <c r="D96" s="109"/>
      <c r="E96" s="110"/>
      <c r="F96" s="111">
        <f>SUM(F87:F95)</f>
        <v>20400</v>
      </c>
      <c r="G96" s="118"/>
      <c r="H96" s="116" t="s">
        <v>261</v>
      </c>
      <c r="I96" s="107"/>
      <c r="J96" s="108"/>
      <c r="K96" s="109"/>
      <c r="L96" s="110"/>
      <c r="M96" s="111">
        <f>SUM(M87:M95)</f>
        <v>0</v>
      </c>
      <c r="N96" s="118"/>
      <c r="O96" s="116" t="s">
        <v>261</v>
      </c>
      <c r="P96" s="107"/>
      <c r="Q96" s="108"/>
      <c r="R96" s="109"/>
      <c r="S96" s="110"/>
      <c r="T96" s="111">
        <f>SUM(T87:T95)</f>
        <v>40630</v>
      </c>
      <c r="V96" s="116" t="s">
        <v>261</v>
      </c>
      <c r="W96" s="107"/>
      <c r="X96" s="108"/>
      <c r="Y96" s="109"/>
      <c r="Z96" s="110"/>
      <c r="AA96" s="111">
        <f>SUM(AA87:AA95)</f>
        <v>0</v>
      </c>
    </row>
    <row r="97" spans="1:27" ht="14.5">
      <c r="A97" s="114" t="s">
        <v>294</v>
      </c>
      <c r="B97" s="89" t="s">
        <v>253</v>
      </c>
      <c r="C97" s="90">
        <v>1</v>
      </c>
      <c r="D97" s="91">
        <v>5</v>
      </c>
      <c r="E97" s="92">
        <v>4000</v>
      </c>
      <c r="F97" s="93">
        <f t="shared" ref="F97:F105" si="46">C97*D97*E97</f>
        <v>20000</v>
      </c>
      <c r="G97" s="412"/>
      <c r="H97" s="96"/>
      <c r="I97" s="89"/>
      <c r="J97" s="90"/>
      <c r="K97" s="91"/>
      <c r="L97" s="92"/>
      <c r="M97" s="93">
        <f t="shared" ref="M97" si="47">J97*K97*L97</f>
        <v>0</v>
      </c>
      <c r="N97" s="412"/>
      <c r="O97" s="200" t="s">
        <v>295</v>
      </c>
      <c r="P97" s="89"/>
      <c r="Q97" s="90"/>
      <c r="R97" s="91"/>
      <c r="S97" s="92"/>
      <c r="T97" s="93"/>
      <c r="V97" s="96"/>
      <c r="W97" s="89"/>
      <c r="X97" s="90"/>
      <c r="Y97" s="91"/>
      <c r="Z97" s="92"/>
      <c r="AA97" s="93">
        <f t="shared" ref="AA97:AA105" si="48">X97*Y97*Z97</f>
        <v>0</v>
      </c>
    </row>
    <row r="98" spans="1:27" ht="10.4" customHeight="1">
      <c r="A98" s="437"/>
      <c r="B98" s="89" t="s">
        <v>256</v>
      </c>
      <c r="C98" s="90">
        <v>5</v>
      </c>
      <c r="D98" s="91">
        <v>11</v>
      </c>
      <c r="E98" s="92">
        <v>600</v>
      </c>
      <c r="F98" s="93">
        <f t="shared" si="46"/>
        <v>33000</v>
      </c>
      <c r="G98" s="97"/>
      <c r="H98" s="117"/>
      <c r="I98" s="89"/>
      <c r="J98" s="90"/>
      <c r="K98" s="91"/>
      <c r="L98" s="92"/>
      <c r="M98" s="93"/>
      <c r="N98" s="97"/>
      <c r="O98" s="434"/>
      <c r="P98" s="89" t="s">
        <v>256</v>
      </c>
      <c r="Q98" s="90">
        <v>7</v>
      </c>
      <c r="R98" s="91">
        <v>11</v>
      </c>
      <c r="S98" s="92">
        <v>600</v>
      </c>
      <c r="T98" s="93">
        <f>Q98*R98*S98</f>
        <v>46200</v>
      </c>
      <c r="V98" s="437"/>
      <c r="W98" s="89"/>
      <c r="X98" s="90"/>
      <c r="Y98" s="91"/>
      <c r="Z98" s="92"/>
      <c r="AA98" s="93">
        <f t="shared" si="48"/>
        <v>0</v>
      </c>
    </row>
    <row r="99" spans="1:27" ht="10.4" customHeight="1">
      <c r="A99" s="437"/>
      <c r="B99" s="89" t="s">
        <v>265</v>
      </c>
      <c r="C99" s="90">
        <v>5</v>
      </c>
      <c r="D99" s="91">
        <v>1</v>
      </c>
      <c r="E99" s="92">
        <v>1000</v>
      </c>
      <c r="F99" s="93">
        <f t="shared" si="46"/>
        <v>5000</v>
      </c>
      <c r="G99" s="97"/>
      <c r="H99" s="117"/>
      <c r="I99" s="89"/>
      <c r="J99" s="90"/>
      <c r="K99" s="91"/>
      <c r="L99" s="92"/>
      <c r="M99" s="93"/>
      <c r="N99" s="97"/>
      <c r="O99" s="435"/>
      <c r="P99" s="89" t="s">
        <v>265</v>
      </c>
      <c r="Q99" s="90">
        <v>7</v>
      </c>
      <c r="R99" s="91">
        <v>1</v>
      </c>
      <c r="S99" s="92">
        <v>1000</v>
      </c>
      <c r="T99" s="93">
        <f t="shared" ref="T99:T104" si="49">Q99*R99*S99</f>
        <v>7000</v>
      </c>
      <c r="V99" s="437"/>
      <c r="W99" s="89"/>
      <c r="X99" s="90"/>
      <c r="Y99" s="91"/>
      <c r="Z99" s="92"/>
      <c r="AA99" s="93">
        <f t="shared" si="48"/>
        <v>0</v>
      </c>
    </row>
    <row r="100" spans="1:27" ht="20.5" customHeight="1">
      <c r="A100" s="437"/>
      <c r="B100" s="89" t="s">
        <v>292</v>
      </c>
      <c r="C100" s="90">
        <v>6</v>
      </c>
      <c r="D100" s="91">
        <v>28</v>
      </c>
      <c r="E100" s="92">
        <v>180</v>
      </c>
      <c r="F100" s="93">
        <f t="shared" si="46"/>
        <v>30240</v>
      </c>
      <c r="G100" s="97"/>
      <c r="H100" s="117"/>
      <c r="I100" s="89"/>
      <c r="J100" s="90"/>
      <c r="K100" s="91"/>
      <c r="L100" s="92"/>
      <c r="M100" s="93"/>
      <c r="N100" s="97"/>
      <c r="O100" s="435"/>
      <c r="P100" s="89" t="s">
        <v>292</v>
      </c>
      <c r="Q100" s="90">
        <v>7</v>
      </c>
      <c r="R100" s="91">
        <v>28</v>
      </c>
      <c r="S100" s="92">
        <v>180</v>
      </c>
      <c r="T100" s="93">
        <f t="shared" si="49"/>
        <v>35280</v>
      </c>
      <c r="V100" s="437"/>
      <c r="W100" s="89"/>
      <c r="X100" s="90"/>
      <c r="Y100" s="91"/>
      <c r="Z100" s="92"/>
      <c r="AA100" s="93"/>
    </row>
    <row r="101" spans="1:27" ht="10.4" customHeight="1">
      <c r="A101" s="437"/>
      <c r="B101" s="89" t="s">
        <v>257</v>
      </c>
      <c r="C101" s="90">
        <v>6</v>
      </c>
      <c r="D101" s="91">
        <v>11</v>
      </c>
      <c r="E101" s="92">
        <v>225</v>
      </c>
      <c r="F101" s="93">
        <f t="shared" si="46"/>
        <v>14850</v>
      </c>
      <c r="G101" s="97"/>
      <c r="H101" s="437"/>
      <c r="I101" s="89"/>
      <c r="J101" s="90"/>
      <c r="K101" s="91"/>
      <c r="L101" s="92"/>
      <c r="M101" s="93">
        <f t="shared" ref="M101:M105" si="50">J101*K101*L101</f>
        <v>0</v>
      </c>
      <c r="N101" s="97"/>
      <c r="O101" s="435"/>
      <c r="P101" s="89" t="s">
        <v>257</v>
      </c>
      <c r="Q101" s="90">
        <v>7</v>
      </c>
      <c r="R101" s="91">
        <v>11</v>
      </c>
      <c r="S101" s="92">
        <v>225</v>
      </c>
      <c r="T101" s="93">
        <f t="shared" si="49"/>
        <v>17325</v>
      </c>
      <c r="V101" s="437"/>
      <c r="W101" s="89"/>
      <c r="X101" s="90"/>
      <c r="Y101" s="91"/>
      <c r="Z101" s="92"/>
      <c r="AA101" s="93"/>
    </row>
    <row r="102" spans="1:27" ht="10.4" customHeight="1">
      <c r="A102" s="437"/>
      <c r="B102" s="89" t="s">
        <v>259</v>
      </c>
      <c r="C102" s="90">
        <v>1</v>
      </c>
      <c r="D102" s="91">
        <v>1</v>
      </c>
      <c r="E102" s="92">
        <v>200</v>
      </c>
      <c r="F102" s="93">
        <f t="shared" si="46"/>
        <v>200</v>
      </c>
      <c r="G102" s="97"/>
      <c r="H102" s="437"/>
      <c r="I102" s="89"/>
      <c r="J102" s="90"/>
      <c r="K102" s="91"/>
      <c r="L102" s="92"/>
      <c r="M102" s="93">
        <f t="shared" si="50"/>
        <v>0</v>
      </c>
      <c r="N102" s="97"/>
      <c r="O102" s="435"/>
      <c r="P102" s="89" t="s">
        <v>259</v>
      </c>
      <c r="Q102" s="90">
        <v>1</v>
      </c>
      <c r="R102" s="91">
        <v>1</v>
      </c>
      <c r="S102" s="92">
        <v>200</v>
      </c>
      <c r="T102" s="93">
        <f t="shared" si="49"/>
        <v>200</v>
      </c>
      <c r="V102" s="437"/>
      <c r="W102" s="89"/>
      <c r="X102" s="90"/>
      <c r="Y102" s="91"/>
      <c r="Z102" s="92"/>
      <c r="AA102" s="93">
        <f t="shared" si="48"/>
        <v>0</v>
      </c>
    </row>
    <row r="103" spans="1:27" ht="10.4" customHeight="1">
      <c r="A103" s="437"/>
      <c r="B103" s="89" t="s">
        <v>263</v>
      </c>
      <c r="C103" s="90">
        <v>5</v>
      </c>
      <c r="D103" s="91">
        <v>18</v>
      </c>
      <c r="E103" s="92">
        <v>200</v>
      </c>
      <c r="F103" s="93">
        <f>C103*D103*E103</f>
        <v>18000</v>
      </c>
      <c r="G103" s="97"/>
      <c r="H103" s="437"/>
      <c r="I103" s="89"/>
      <c r="J103" s="90"/>
      <c r="K103" s="91"/>
      <c r="L103" s="92"/>
      <c r="M103" s="93">
        <f t="shared" si="50"/>
        <v>0</v>
      </c>
      <c r="N103" s="97"/>
      <c r="O103" s="435"/>
      <c r="P103" s="89"/>
      <c r="Q103" s="90"/>
      <c r="R103" s="91"/>
      <c r="S103" s="92"/>
      <c r="T103" s="93">
        <f t="shared" si="49"/>
        <v>0</v>
      </c>
      <c r="V103" s="437"/>
      <c r="W103" s="89"/>
      <c r="X103" s="90"/>
      <c r="Y103" s="91"/>
      <c r="Z103" s="92"/>
      <c r="AA103" s="93"/>
    </row>
    <row r="104" spans="1:27" ht="10.4" customHeight="1">
      <c r="A104" s="437"/>
      <c r="B104" s="100" t="s">
        <v>267</v>
      </c>
      <c r="C104" s="101">
        <v>1</v>
      </c>
      <c r="D104" s="91">
        <v>1</v>
      </c>
      <c r="E104" s="91">
        <v>600</v>
      </c>
      <c r="F104" s="93">
        <f t="shared" si="46"/>
        <v>600</v>
      </c>
      <c r="G104" s="97"/>
      <c r="H104" s="437"/>
      <c r="I104" s="89"/>
      <c r="J104" s="90"/>
      <c r="K104" s="91"/>
      <c r="L104" s="92"/>
      <c r="M104" s="93">
        <f t="shared" si="50"/>
        <v>0</v>
      </c>
      <c r="N104" s="97"/>
      <c r="O104" s="436"/>
      <c r="P104" s="89" t="s">
        <v>267</v>
      </c>
      <c r="Q104" s="90">
        <v>1</v>
      </c>
      <c r="R104" s="91">
        <v>1</v>
      </c>
      <c r="S104" s="92">
        <v>600</v>
      </c>
      <c r="T104" s="93">
        <f t="shared" si="49"/>
        <v>600</v>
      </c>
      <c r="V104" s="437"/>
      <c r="W104" s="89"/>
      <c r="X104" s="90"/>
      <c r="Y104" s="91"/>
      <c r="Z104" s="92"/>
      <c r="AA104" s="93">
        <f t="shared" si="48"/>
        <v>0</v>
      </c>
    </row>
    <row r="105" spans="1:27" ht="10.4" customHeight="1">
      <c r="A105" s="438"/>
      <c r="B105" s="100" t="s">
        <v>296</v>
      </c>
      <c r="C105" s="101">
        <v>1</v>
      </c>
      <c r="D105" s="91">
        <v>2</v>
      </c>
      <c r="E105" s="91">
        <v>10000</v>
      </c>
      <c r="F105" s="93">
        <f t="shared" si="46"/>
        <v>20000</v>
      </c>
      <c r="G105" s="102"/>
      <c r="H105" s="438"/>
      <c r="I105" s="100"/>
      <c r="J105" s="101"/>
      <c r="K105" s="91"/>
      <c r="L105" s="91"/>
      <c r="M105" s="93">
        <f t="shared" si="50"/>
        <v>0</v>
      </c>
      <c r="N105" s="102"/>
      <c r="O105" s="199"/>
      <c r="P105" s="100" t="s">
        <v>293</v>
      </c>
      <c r="Q105" s="101">
        <v>1</v>
      </c>
      <c r="R105" s="91">
        <v>1</v>
      </c>
      <c r="S105" s="91">
        <v>10000</v>
      </c>
      <c r="T105" s="93">
        <f t="shared" ref="T105" si="51">Q105*R105*S105</f>
        <v>10000</v>
      </c>
      <c r="V105" s="438"/>
      <c r="W105" s="100"/>
      <c r="X105" s="101"/>
      <c r="Y105" s="91"/>
      <c r="Z105" s="91"/>
      <c r="AA105" s="93">
        <f t="shared" si="48"/>
        <v>0</v>
      </c>
    </row>
    <row r="106" spans="1:27">
      <c r="A106" s="107" t="s">
        <v>261</v>
      </c>
      <c r="B106" s="107"/>
      <c r="C106" s="108"/>
      <c r="D106" s="109"/>
      <c r="E106" s="110"/>
      <c r="F106" s="111">
        <f>SUM(F97:F105)</f>
        <v>141890</v>
      </c>
      <c r="G106" s="118"/>
      <c r="H106" s="116" t="s">
        <v>261</v>
      </c>
      <c r="I106" s="107"/>
      <c r="J106" s="108"/>
      <c r="K106" s="109"/>
      <c r="L106" s="110"/>
      <c r="M106" s="111">
        <f>SUM(M97:M105)</f>
        <v>0</v>
      </c>
      <c r="N106" s="118"/>
      <c r="O106" s="116" t="s">
        <v>261</v>
      </c>
      <c r="P106" s="107"/>
      <c r="Q106" s="108"/>
      <c r="R106" s="109"/>
      <c r="S106" s="110"/>
      <c r="T106" s="111">
        <f>SUM(T97:T105)</f>
        <v>116605</v>
      </c>
      <c r="V106" s="116" t="s">
        <v>261</v>
      </c>
      <c r="W106" s="107"/>
      <c r="X106" s="108"/>
      <c r="Y106" s="109"/>
      <c r="Z106" s="110"/>
      <c r="AA106" s="111">
        <f>SUM(AA97:AA105)</f>
        <v>0</v>
      </c>
    </row>
    <row r="107" spans="1:27" ht="12.5">
      <c r="A107" s="114" t="s">
        <v>297</v>
      </c>
      <c r="B107" s="89" t="s">
        <v>263</v>
      </c>
      <c r="C107" s="90">
        <v>1</v>
      </c>
      <c r="D107" s="91">
        <v>8</v>
      </c>
      <c r="E107" s="92">
        <v>500</v>
      </c>
      <c r="F107" s="93">
        <f t="shared" ref="F107:F114" si="52">C107*D107*E107</f>
        <v>4000</v>
      </c>
      <c r="G107" s="412"/>
      <c r="H107" s="96"/>
      <c r="I107" s="89"/>
      <c r="J107" s="90"/>
      <c r="K107" s="91"/>
      <c r="L107" s="92"/>
      <c r="M107" s="93">
        <f t="shared" ref="M107:M109" si="53">J107*K107*L107</f>
        <v>0</v>
      </c>
      <c r="N107" s="412"/>
      <c r="O107" s="96"/>
      <c r="P107" s="89"/>
      <c r="Q107" s="90"/>
      <c r="R107" s="91"/>
      <c r="S107" s="92"/>
      <c r="T107" s="93">
        <f t="shared" ref="T107:T109" si="54">Q107*R107*S107</f>
        <v>0</v>
      </c>
      <c r="V107" s="96"/>
      <c r="W107" s="89"/>
      <c r="X107" s="90"/>
      <c r="Y107" s="91"/>
      <c r="Z107" s="92"/>
      <c r="AA107" s="93">
        <f t="shared" ref="AA107:AA109" si="55">X107*Y107*Z107</f>
        <v>0</v>
      </c>
    </row>
    <row r="108" spans="1:27">
      <c r="A108" s="437"/>
      <c r="B108" s="89" t="s">
        <v>256</v>
      </c>
      <c r="C108" s="90">
        <v>5</v>
      </c>
      <c r="D108" s="91">
        <v>8</v>
      </c>
      <c r="E108" s="92">
        <v>600</v>
      </c>
      <c r="F108" s="93">
        <f t="shared" si="52"/>
        <v>24000</v>
      </c>
      <c r="G108" s="97"/>
      <c r="H108" s="437"/>
      <c r="I108" s="89"/>
      <c r="J108" s="90"/>
      <c r="K108" s="91"/>
      <c r="L108" s="92"/>
      <c r="M108" s="93">
        <f t="shared" si="53"/>
        <v>0</v>
      </c>
      <c r="N108" s="97"/>
      <c r="O108" s="437"/>
      <c r="P108" s="89"/>
      <c r="Q108" s="90"/>
      <c r="R108" s="91"/>
      <c r="S108" s="92"/>
      <c r="T108" s="93">
        <f t="shared" si="54"/>
        <v>0</v>
      </c>
      <c r="V108" s="437"/>
      <c r="W108" s="89"/>
      <c r="X108" s="90"/>
      <c r="Y108" s="91"/>
      <c r="Z108" s="92"/>
      <c r="AA108" s="93">
        <f t="shared" si="55"/>
        <v>0</v>
      </c>
    </row>
    <row r="109" spans="1:27">
      <c r="A109" s="437"/>
      <c r="B109" s="89" t="s">
        <v>265</v>
      </c>
      <c r="C109" s="90">
        <v>5</v>
      </c>
      <c r="D109" s="91">
        <v>1</v>
      </c>
      <c r="E109" s="92">
        <v>1000</v>
      </c>
      <c r="F109" s="93">
        <f t="shared" si="52"/>
        <v>5000</v>
      </c>
      <c r="G109" s="97"/>
      <c r="H109" s="437"/>
      <c r="I109" s="89"/>
      <c r="J109" s="90"/>
      <c r="K109" s="91"/>
      <c r="L109" s="92"/>
      <c r="M109" s="93">
        <f t="shared" si="53"/>
        <v>0</v>
      </c>
      <c r="N109" s="97"/>
      <c r="O109" s="437"/>
      <c r="P109" s="89"/>
      <c r="Q109" s="90"/>
      <c r="R109" s="91"/>
      <c r="S109" s="92"/>
      <c r="T109" s="93">
        <f t="shared" si="54"/>
        <v>0</v>
      </c>
      <c r="V109" s="437"/>
      <c r="W109" s="89"/>
      <c r="X109" s="90"/>
      <c r="Y109" s="91"/>
      <c r="Z109" s="92"/>
      <c r="AA109" s="93">
        <f t="shared" si="55"/>
        <v>0</v>
      </c>
    </row>
    <row r="110" spans="1:27">
      <c r="A110" s="437"/>
      <c r="B110" s="89" t="s">
        <v>292</v>
      </c>
      <c r="C110" s="90">
        <v>6</v>
      </c>
      <c r="D110" s="91">
        <v>12</v>
      </c>
      <c r="E110" s="92">
        <v>180</v>
      </c>
      <c r="F110" s="93">
        <f t="shared" si="52"/>
        <v>12960</v>
      </c>
      <c r="G110" s="97"/>
      <c r="H110" s="437"/>
      <c r="I110" s="89"/>
      <c r="J110" s="90"/>
      <c r="K110" s="91"/>
      <c r="L110" s="92"/>
      <c r="M110" s="93"/>
      <c r="N110" s="97"/>
      <c r="O110" s="437"/>
      <c r="P110" s="89"/>
      <c r="Q110" s="90"/>
      <c r="R110" s="91"/>
      <c r="S110" s="92"/>
      <c r="T110" s="93"/>
      <c r="V110" s="437"/>
      <c r="W110" s="89"/>
      <c r="X110" s="90"/>
      <c r="Y110" s="91"/>
      <c r="Z110" s="92"/>
      <c r="AA110" s="93"/>
    </row>
    <row r="111" spans="1:27">
      <c r="A111" s="437"/>
      <c r="B111" s="89" t="s">
        <v>257</v>
      </c>
      <c r="C111" s="90">
        <v>6</v>
      </c>
      <c r="D111" s="91">
        <v>8</v>
      </c>
      <c r="E111" s="92">
        <v>225</v>
      </c>
      <c r="F111" s="93">
        <f t="shared" si="52"/>
        <v>10800</v>
      </c>
      <c r="G111" s="97"/>
      <c r="H111" s="437"/>
      <c r="I111" s="89"/>
      <c r="J111" s="90"/>
      <c r="K111" s="91"/>
      <c r="L111" s="92"/>
      <c r="M111" s="93"/>
      <c r="N111" s="97"/>
      <c r="O111" s="437"/>
      <c r="P111" s="89"/>
      <c r="Q111" s="90"/>
      <c r="R111" s="91"/>
      <c r="S111" s="92"/>
      <c r="T111" s="93"/>
      <c r="V111" s="437"/>
      <c r="W111" s="89"/>
      <c r="X111" s="90"/>
      <c r="Y111" s="91"/>
      <c r="Z111" s="92"/>
      <c r="AA111" s="93"/>
    </row>
    <row r="112" spans="1:27">
      <c r="A112" s="437"/>
      <c r="B112" s="89" t="s">
        <v>259</v>
      </c>
      <c r="C112" s="90">
        <v>1</v>
      </c>
      <c r="D112" s="91">
        <v>1</v>
      </c>
      <c r="E112" s="92">
        <v>200</v>
      </c>
      <c r="F112" s="93">
        <f t="shared" si="52"/>
        <v>200</v>
      </c>
      <c r="G112" s="97"/>
      <c r="H112" s="437"/>
      <c r="I112" s="89"/>
      <c r="J112" s="90"/>
      <c r="K112" s="91"/>
      <c r="L112" s="92"/>
      <c r="M112" s="93">
        <f t="shared" ref="M112:M114" si="56">J112*K112*L112</f>
        <v>0</v>
      </c>
      <c r="N112" s="97"/>
      <c r="O112" s="437"/>
      <c r="P112" s="89"/>
      <c r="Q112" s="90"/>
      <c r="R112" s="91"/>
      <c r="S112" s="92"/>
      <c r="T112" s="93">
        <f t="shared" ref="T112:T114" si="57">Q112*R112*S112</f>
        <v>0</v>
      </c>
      <c r="V112" s="437"/>
      <c r="W112" s="89"/>
      <c r="X112" s="90"/>
      <c r="Y112" s="91"/>
      <c r="Z112" s="92"/>
      <c r="AA112" s="93">
        <f t="shared" ref="AA112:AA114" si="58">X112*Y112*Z112</f>
        <v>0</v>
      </c>
    </row>
    <row r="113" spans="1:27">
      <c r="A113" s="437"/>
      <c r="B113" s="89" t="s">
        <v>263</v>
      </c>
      <c r="C113" s="90">
        <v>5</v>
      </c>
      <c r="D113" s="91">
        <v>4</v>
      </c>
      <c r="E113" s="92">
        <v>200</v>
      </c>
      <c r="F113" s="93">
        <f t="shared" si="52"/>
        <v>4000</v>
      </c>
      <c r="G113" s="97"/>
      <c r="H113" s="437"/>
      <c r="I113" s="89"/>
      <c r="J113" s="90"/>
      <c r="K113" s="91"/>
      <c r="L113" s="92"/>
      <c r="M113" s="93">
        <f t="shared" si="56"/>
        <v>0</v>
      </c>
      <c r="N113" s="97"/>
      <c r="O113" s="437"/>
      <c r="P113" s="89"/>
      <c r="Q113" s="90"/>
      <c r="R113" s="91"/>
      <c r="S113" s="92"/>
      <c r="T113" s="93">
        <f t="shared" si="57"/>
        <v>0</v>
      </c>
      <c r="V113" s="437"/>
      <c r="W113" s="89"/>
      <c r="X113" s="90"/>
      <c r="Y113" s="91"/>
      <c r="Z113" s="92"/>
      <c r="AA113" s="93">
        <f t="shared" si="58"/>
        <v>0</v>
      </c>
    </row>
    <row r="114" spans="1:27">
      <c r="A114" s="438"/>
      <c r="B114" s="100" t="s">
        <v>267</v>
      </c>
      <c r="C114" s="101">
        <v>1</v>
      </c>
      <c r="D114" s="91">
        <v>1</v>
      </c>
      <c r="E114" s="91">
        <v>600</v>
      </c>
      <c r="F114" s="93">
        <f t="shared" si="52"/>
        <v>600</v>
      </c>
      <c r="G114" s="102"/>
      <c r="H114" s="438"/>
      <c r="I114" s="100"/>
      <c r="J114" s="101"/>
      <c r="K114" s="91"/>
      <c r="L114" s="91"/>
      <c r="M114" s="93">
        <f t="shared" si="56"/>
        <v>0</v>
      </c>
      <c r="N114" s="102"/>
      <c r="O114" s="438"/>
      <c r="P114" s="100"/>
      <c r="Q114" s="101"/>
      <c r="R114" s="91"/>
      <c r="S114" s="91"/>
      <c r="T114" s="93">
        <f t="shared" si="57"/>
        <v>0</v>
      </c>
      <c r="V114" s="438"/>
      <c r="W114" s="100"/>
      <c r="X114" s="101"/>
      <c r="Y114" s="91"/>
      <c r="Z114" s="91"/>
      <c r="AA114" s="93">
        <f t="shared" si="58"/>
        <v>0</v>
      </c>
    </row>
    <row r="115" spans="1:27">
      <c r="A115" s="107" t="s">
        <v>261</v>
      </c>
      <c r="B115" s="107"/>
      <c r="C115" s="108"/>
      <c r="D115" s="109"/>
      <c r="E115" s="110"/>
      <c r="F115" s="111">
        <f>SUM(F107:F114)</f>
        <v>61560</v>
      </c>
      <c r="G115" s="118"/>
      <c r="H115" s="116" t="s">
        <v>261</v>
      </c>
      <c r="I115" s="107"/>
      <c r="J115" s="108"/>
      <c r="K115" s="109"/>
      <c r="L115" s="110"/>
      <c r="M115" s="111">
        <f>SUM(M107:M114)</f>
        <v>0</v>
      </c>
      <c r="N115" s="118"/>
      <c r="O115" s="116" t="s">
        <v>261</v>
      </c>
      <c r="P115" s="107"/>
      <c r="Q115" s="108"/>
      <c r="R115" s="109"/>
      <c r="S115" s="110"/>
      <c r="T115" s="111">
        <f>SUM(T107:T114)</f>
        <v>0</v>
      </c>
      <c r="V115" s="116" t="s">
        <v>261</v>
      </c>
      <c r="W115" s="107"/>
      <c r="X115" s="108"/>
      <c r="Y115" s="109"/>
      <c r="Z115" s="110"/>
      <c r="AA115" s="111">
        <f>SUM(AA107:AA114)</f>
        <v>0</v>
      </c>
    </row>
    <row r="117" spans="1:27">
      <c r="F117" s="123"/>
    </row>
  </sheetData>
  <mergeCells count="48">
    <mergeCell ref="A19:A23"/>
    <mergeCell ref="H19:H23"/>
    <mergeCell ref="O22:O23"/>
    <mergeCell ref="H4:H6"/>
    <mergeCell ref="O4:O6"/>
    <mergeCell ref="A11:A16"/>
    <mergeCell ref="H11:H16"/>
    <mergeCell ref="O11:O16"/>
    <mergeCell ref="A26:A30"/>
    <mergeCell ref="H26:H30"/>
    <mergeCell ref="O26:O30"/>
    <mergeCell ref="A46:A50"/>
    <mergeCell ref="H46:H50"/>
    <mergeCell ref="O46:O50"/>
    <mergeCell ref="A53:A57"/>
    <mergeCell ref="H53:H57"/>
    <mergeCell ref="O53:O57"/>
    <mergeCell ref="V53:V55"/>
    <mergeCell ref="A60:A62"/>
    <mergeCell ref="H60:H62"/>
    <mergeCell ref="O60:O62"/>
    <mergeCell ref="V60:V62"/>
    <mergeCell ref="A67:A71"/>
    <mergeCell ref="H67:H71"/>
    <mergeCell ref="O67:O71"/>
    <mergeCell ref="V67:V71"/>
    <mergeCell ref="A74:A78"/>
    <mergeCell ref="H74:H78"/>
    <mergeCell ref="O77:O78"/>
    <mergeCell ref="V77:V78"/>
    <mergeCell ref="A81:A85"/>
    <mergeCell ref="H81:H85"/>
    <mergeCell ref="O81:O85"/>
    <mergeCell ref="V81:V85"/>
    <mergeCell ref="A91:A95"/>
    <mergeCell ref="H91:H95"/>
    <mergeCell ref="V91:V95"/>
    <mergeCell ref="A98:A105"/>
    <mergeCell ref="V98:V105"/>
    <mergeCell ref="A108:A114"/>
    <mergeCell ref="H108:H114"/>
    <mergeCell ref="O108:O114"/>
    <mergeCell ref="V108:V114"/>
    <mergeCell ref="V33:V36"/>
    <mergeCell ref="V39:V43"/>
    <mergeCell ref="O88:O94"/>
    <mergeCell ref="O98:O104"/>
    <mergeCell ref="H101:H105"/>
  </mergeCells>
  <dataValidations count="1">
    <dataValidation type="textLength" errorStyle="information" allowBlank="1" showInputMessage="1" showErrorMessage="1" error="XLBVal:8=Account Code_x000d__x000a_XLBRowCount:3=278_x000d__x000a_XLBColCount:3=2_x000d__x000a_Style:2=1_x000d__x000a_" sqref="A2:B2 HV2:HW2 RR2:RS2 ABN2:ABO2 ALJ2:ALK2 AVF2:AVG2 BFB2:BFC2 BOX2:BOY2 BYT2:BYU2 CIP2:CIQ2 CSL2:CSM2 DCH2:DCI2 DMD2:DME2 DVZ2:DWA2 EFV2:EFW2 EPR2:EPS2 EZN2:EZO2 FJJ2:FJK2 FTF2:FTG2 GDB2:GDC2 GMX2:GMY2 GWT2:GWU2 HGP2:HGQ2 HQL2:HQM2 IAH2:IAI2 IKD2:IKE2 ITZ2:IUA2 JDV2:JDW2 JNR2:JNS2 JXN2:JXO2 KHJ2:KHK2 KRF2:KRG2 LBB2:LBC2 LKX2:LKY2 LUT2:LUU2 MEP2:MEQ2 MOL2:MOM2 MYH2:MYI2 NID2:NIE2 NRZ2:NSA2 OBV2:OBW2 OLR2:OLS2 OVN2:OVO2 PFJ2:PFK2 PPF2:PPG2 PZB2:PZC2 QIX2:QIY2 QST2:QSU2 RCP2:RCQ2 RML2:RMM2 RWH2:RWI2 SGD2:SGE2 SPZ2:SQA2 SZV2:SZW2 TJR2:TJS2 TTN2:TTO2 UDJ2:UDK2 UNF2:UNG2 UXB2:UXC2 VGX2:VGY2 VQT2:VQU2 WAP2:WAQ2 WKL2:WKM2 WUH2:WUI2 H2:I2 O2:P2 V2:W2" xr:uid="{00000000-0002-0000-0600-000000000000}">
      <formula1>0</formula1>
      <formula2>300</formula2>
    </dataValidation>
  </dataValidations>
  <pageMargins left="0.7" right="0.7" top="0.75" bottom="0.75" header="0.3" footer="0.3"/>
  <customProperties>
    <customPr name="QAA_DRILLPATH_NODE_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50"/>
  <sheetViews>
    <sheetView workbookViewId="0">
      <selection activeCell="L41" sqref="L41"/>
    </sheetView>
  </sheetViews>
  <sheetFormatPr defaultRowHeight="14.5"/>
  <cols>
    <col min="1" max="1" width="6.453125" customWidth="1"/>
    <col min="2" max="2" width="12.54296875" customWidth="1"/>
    <col min="3" max="3" width="12.453125" customWidth="1"/>
    <col min="4" max="4" width="0" hidden="1" customWidth="1"/>
    <col min="5" max="5" width="13.453125" customWidth="1"/>
    <col min="6" max="6" width="11.54296875" bestFit="1" customWidth="1"/>
    <col min="7" max="7" width="12.1796875" customWidth="1"/>
    <col min="8" max="8" width="4.453125" customWidth="1"/>
    <col min="9" max="10" width="11.54296875" bestFit="1" customWidth="1"/>
    <col min="11" max="11" width="16.54296875" customWidth="1"/>
    <col min="12" max="12" width="11.453125" customWidth="1"/>
    <col min="13" max="13" width="4" customWidth="1"/>
    <col min="14" max="14" width="4.453125" customWidth="1"/>
    <col min="15" max="17" width="11.54296875" bestFit="1" customWidth="1"/>
  </cols>
  <sheetData>
    <row r="1" spans="1:17">
      <c r="E1" t="s">
        <v>298</v>
      </c>
      <c r="I1" t="s">
        <v>299</v>
      </c>
      <c r="O1" s="202" t="s">
        <v>300</v>
      </c>
    </row>
    <row r="2" spans="1:17" ht="58">
      <c r="A2" s="203" t="s">
        <v>301</v>
      </c>
      <c r="B2" s="203" t="s">
        <v>302</v>
      </c>
      <c r="C2" s="203" t="s">
        <v>303</v>
      </c>
      <c r="D2" s="203" t="s">
        <v>304</v>
      </c>
      <c r="E2" s="203" t="s">
        <v>305</v>
      </c>
      <c r="F2" s="204" t="s">
        <v>306</v>
      </c>
      <c r="G2" s="204" t="s">
        <v>168</v>
      </c>
      <c r="I2" s="205" t="s">
        <v>307</v>
      </c>
      <c r="J2" s="205" t="s">
        <v>308</v>
      </c>
      <c r="K2" s="205" t="s">
        <v>309</v>
      </c>
      <c r="L2" s="205" t="s">
        <v>168</v>
      </c>
      <c r="O2" s="206" t="s">
        <v>310</v>
      </c>
      <c r="P2" s="207" t="s">
        <v>311</v>
      </c>
      <c r="Q2" s="207" t="s">
        <v>312</v>
      </c>
    </row>
    <row r="3" spans="1:17">
      <c r="A3">
        <v>1</v>
      </c>
      <c r="B3" t="s">
        <v>313</v>
      </c>
      <c r="C3" t="s">
        <v>314</v>
      </c>
      <c r="D3" t="s">
        <v>315</v>
      </c>
      <c r="E3" s="202">
        <v>40056.449999999997</v>
      </c>
      <c r="F3" s="202">
        <f>+[26]Workings!J4</f>
        <v>0</v>
      </c>
      <c r="G3" s="208">
        <f>+E3+F3</f>
        <v>40056.449999999997</v>
      </c>
      <c r="I3" s="202">
        <f>+E3*1.1</f>
        <v>44062.095000000001</v>
      </c>
      <c r="J3" s="202">
        <f>+[26]Workings!Y4</f>
        <v>0</v>
      </c>
      <c r="K3" s="202">
        <f t="shared" ref="K3:K43" si="0">+I3*0.05</f>
        <v>2203.10475</v>
      </c>
      <c r="L3" s="208">
        <f>SUM(I3:K3)</f>
        <v>46265.19975</v>
      </c>
      <c r="O3" s="202">
        <f>+'[26]Confirmed Salaries Projects'!T7</f>
        <v>0</v>
      </c>
      <c r="P3" s="202">
        <f>+L3*0.1</f>
        <v>4626.5199750000002</v>
      </c>
      <c r="Q3" s="208">
        <f>+L3-O3-P3</f>
        <v>41638.679774999997</v>
      </c>
    </row>
    <row r="4" spans="1:17">
      <c r="A4">
        <v>2</v>
      </c>
      <c r="B4" t="s">
        <v>316</v>
      </c>
      <c r="C4" t="s">
        <v>317</v>
      </c>
      <c r="E4" s="202">
        <v>28932.75</v>
      </c>
      <c r="F4" s="202">
        <f>+[26]Workings!J5</f>
        <v>0</v>
      </c>
      <c r="G4" s="208">
        <f t="shared" ref="G4:G43" si="1">+E4+F4</f>
        <v>28932.75</v>
      </c>
      <c r="I4" s="202">
        <f t="shared" ref="I4:I43" si="2">+E4*1.1</f>
        <v>31826.025000000001</v>
      </c>
      <c r="J4" s="202">
        <f>+[26]Workings!Y5</f>
        <v>0</v>
      </c>
      <c r="K4" s="202">
        <f t="shared" si="0"/>
        <v>1591.3012500000002</v>
      </c>
      <c r="L4" s="208">
        <f t="shared" ref="L4:L43" si="3">SUM(I4:K4)</f>
        <v>33417.326249999998</v>
      </c>
      <c r="O4" s="202"/>
      <c r="P4" s="202">
        <f>+L4*0.2</f>
        <v>6683.4652500000002</v>
      </c>
      <c r="Q4" s="208">
        <f t="shared" ref="Q4:Q43" si="4">+L4-O4-P4</f>
        <v>26733.860999999997</v>
      </c>
    </row>
    <row r="5" spans="1:17">
      <c r="A5">
        <v>3</v>
      </c>
      <c r="B5" t="s">
        <v>318</v>
      </c>
      <c r="C5" t="s">
        <v>319</v>
      </c>
      <c r="D5" t="s">
        <v>320</v>
      </c>
      <c r="E5" s="202">
        <v>26275</v>
      </c>
      <c r="F5" s="202">
        <f>+[26]Workings!J6</f>
        <v>9311.8544999999995</v>
      </c>
      <c r="G5" s="208">
        <f t="shared" si="1"/>
        <v>35586.854500000001</v>
      </c>
      <c r="I5" s="202">
        <f t="shared" si="2"/>
        <v>28902.500000000004</v>
      </c>
      <c r="J5" s="202">
        <f>+[26]Workings!Y6</f>
        <v>10153.03995</v>
      </c>
      <c r="K5" s="202">
        <f t="shared" si="0"/>
        <v>1445.1250000000002</v>
      </c>
      <c r="L5" s="208">
        <f t="shared" si="3"/>
        <v>40500.664950000006</v>
      </c>
      <c r="O5" s="202">
        <f>+'[26]Confirmed Salaries Projects'!T9</f>
        <v>3320.3998232825265</v>
      </c>
      <c r="P5" s="202">
        <f>+L5*0.3</f>
        <v>12150.199485000001</v>
      </c>
      <c r="Q5" s="208">
        <f t="shared" si="4"/>
        <v>25030.06564171748</v>
      </c>
    </row>
    <row r="6" spans="1:17">
      <c r="A6">
        <v>4</v>
      </c>
      <c r="B6" t="s">
        <v>321</v>
      </c>
      <c r="C6" t="s">
        <v>322</v>
      </c>
      <c r="E6" s="202">
        <v>24866</v>
      </c>
      <c r="F6" s="202">
        <f>+[26]Workings!J7</f>
        <v>6975.8774999999996</v>
      </c>
      <c r="G6" s="208">
        <f t="shared" si="1"/>
        <v>31841.877499999999</v>
      </c>
      <c r="I6" s="202">
        <f t="shared" si="2"/>
        <v>27352.600000000002</v>
      </c>
      <c r="J6" s="202">
        <f>+[26]Workings!Y7</f>
        <v>7583.4652500000011</v>
      </c>
      <c r="K6" s="202">
        <f t="shared" si="0"/>
        <v>1367.63</v>
      </c>
      <c r="L6" s="208">
        <f t="shared" si="3"/>
        <v>36303.695249999997</v>
      </c>
      <c r="O6" s="202"/>
      <c r="P6" s="202">
        <f>+L6*0.3</f>
        <v>10891.108574999998</v>
      </c>
      <c r="Q6" s="208">
        <f t="shared" si="4"/>
        <v>25412.586674999999</v>
      </c>
    </row>
    <row r="7" spans="1:17">
      <c r="A7">
        <v>5</v>
      </c>
      <c r="B7" t="s">
        <v>323</v>
      </c>
      <c r="C7" t="s">
        <v>324</v>
      </c>
      <c r="D7" t="s">
        <v>325</v>
      </c>
      <c r="E7" s="202">
        <v>24866</v>
      </c>
      <c r="F7" s="202">
        <f>+[26]Workings!J8</f>
        <v>6417.75</v>
      </c>
      <c r="G7" s="208">
        <f t="shared" si="1"/>
        <v>31283.75</v>
      </c>
      <c r="I7" s="202">
        <f t="shared" si="2"/>
        <v>27352.600000000002</v>
      </c>
      <c r="J7" s="202">
        <f>+[26]Workings!Y8</f>
        <v>6969.5249999999996</v>
      </c>
      <c r="K7" s="202">
        <f t="shared" si="0"/>
        <v>1367.63</v>
      </c>
      <c r="L7" s="208">
        <f t="shared" si="3"/>
        <v>35689.754999999997</v>
      </c>
      <c r="O7" s="202"/>
      <c r="P7" s="202">
        <f>+L7*0.2</f>
        <v>7137.951</v>
      </c>
      <c r="Q7" s="208">
        <f t="shared" si="4"/>
        <v>28551.803999999996</v>
      </c>
    </row>
    <row r="8" spans="1:17">
      <c r="A8">
        <v>6</v>
      </c>
      <c r="B8" t="s">
        <v>326</v>
      </c>
      <c r="C8" t="s">
        <v>327</v>
      </c>
      <c r="D8" t="s">
        <v>328</v>
      </c>
      <c r="E8" s="202">
        <v>21227.03</v>
      </c>
      <c r="F8" s="202">
        <f>+[26]Workings!J9</f>
        <v>6121.86</v>
      </c>
      <c r="G8" s="208">
        <f t="shared" si="1"/>
        <v>27348.89</v>
      </c>
      <c r="I8" s="202">
        <f t="shared" si="2"/>
        <v>23349.733</v>
      </c>
      <c r="J8" s="202">
        <f>+[26]Workings!Y9</f>
        <v>6644.0460000000003</v>
      </c>
      <c r="K8" s="202">
        <f t="shared" si="0"/>
        <v>1167.4866500000001</v>
      </c>
      <c r="L8" s="208">
        <f t="shared" si="3"/>
        <v>31161.265650000001</v>
      </c>
      <c r="O8" s="202">
        <f>+'[26]Confirmed Salaries Projects'!T12</f>
        <v>0</v>
      </c>
      <c r="P8" s="202"/>
      <c r="Q8" s="208">
        <f t="shared" si="4"/>
        <v>31161.265650000001</v>
      </c>
    </row>
    <row r="9" spans="1:17">
      <c r="A9">
        <v>7</v>
      </c>
      <c r="B9" t="s">
        <v>329</v>
      </c>
      <c r="C9" t="s">
        <v>330</v>
      </c>
      <c r="E9" s="202">
        <v>19855</v>
      </c>
      <c r="F9" s="202">
        <f>+[26]Workings!J10</f>
        <v>6121.86</v>
      </c>
      <c r="G9" s="208">
        <f t="shared" si="1"/>
        <v>25976.86</v>
      </c>
      <c r="I9" s="202">
        <f t="shared" si="2"/>
        <v>21840.5</v>
      </c>
      <c r="J9" s="202">
        <f>+[26]Workings!Y10</f>
        <v>6644.0460000000003</v>
      </c>
      <c r="K9" s="202">
        <f t="shared" si="0"/>
        <v>1092.0250000000001</v>
      </c>
      <c r="L9" s="208">
        <f t="shared" si="3"/>
        <v>29576.571000000004</v>
      </c>
      <c r="O9" s="202">
        <f>+'[26]Confirmed Salaries Projects'!T16</f>
        <v>24614.79</v>
      </c>
      <c r="P9" s="202">
        <f>+L9*0.3</f>
        <v>8872.9713000000011</v>
      </c>
      <c r="Q9" s="208">
        <f t="shared" si="4"/>
        <v>-3911.1902999999984</v>
      </c>
    </row>
    <row r="10" spans="1:17">
      <c r="A10">
        <v>8</v>
      </c>
      <c r="B10" t="s">
        <v>331</v>
      </c>
      <c r="C10" t="s">
        <v>332</v>
      </c>
      <c r="E10" s="202">
        <v>19855</v>
      </c>
      <c r="F10" s="202">
        <f>+[26]Workings!J11</f>
        <v>5357.6763000000001</v>
      </c>
      <c r="G10" s="208">
        <f t="shared" si="1"/>
        <v>25212.676299999999</v>
      </c>
      <c r="I10" s="202">
        <f t="shared" si="2"/>
        <v>21840.5</v>
      </c>
      <c r="J10" s="202">
        <f>+[26]Workings!Y11</f>
        <v>5803.4439300000004</v>
      </c>
      <c r="K10" s="202">
        <f t="shared" si="0"/>
        <v>1092.0250000000001</v>
      </c>
      <c r="L10" s="208">
        <f t="shared" si="3"/>
        <v>28735.968930000003</v>
      </c>
      <c r="O10" s="202">
        <f>+'[26]Confirmed Salaries Projects'!T13</f>
        <v>0</v>
      </c>
      <c r="P10" s="202">
        <f>+L10*0.3</f>
        <v>8620.7906789999997</v>
      </c>
      <c r="Q10" s="208">
        <f t="shared" si="4"/>
        <v>20115.178251000005</v>
      </c>
    </row>
    <row r="11" spans="1:17">
      <c r="A11">
        <v>9</v>
      </c>
      <c r="B11" t="s">
        <v>333</v>
      </c>
      <c r="C11" t="s">
        <v>334</v>
      </c>
      <c r="E11" s="202">
        <v>19855</v>
      </c>
      <c r="F11" s="202">
        <f>+[26]Workings!J12</f>
        <v>5069.55</v>
      </c>
      <c r="G11" s="208">
        <f t="shared" si="1"/>
        <v>24924.55</v>
      </c>
      <c r="I11" s="202">
        <f t="shared" si="2"/>
        <v>21840.5</v>
      </c>
      <c r="J11" s="202">
        <f>+[26]Workings!Y12</f>
        <v>5486.5050000000001</v>
      </c>
      <c r="K11" s="202">
        <f t="shared" si="0"/>
        <v>1092.0250000000001</v>
      </c>
      <c r="L11" s="208">
        <f t="shared" si="3"/>
        <v>28419.030000000002</v>
      </c>
      <c r="O11" s="202">
        <f>+'[26]Confirmed Salaries Projects'!T14</f>
        <v>26584.552485877615</v>
      </c>
      <c r="P11" s="202">
        <f>+L11*0.3</f>
        <v>8525.7090000000007</v>
      </c>
      <c r="Q11" s="208">
        <f t="shared" si="4"/>
        <v>-6691.2314858776135</v>
      </c>
    </row>
    <row r="12" spans="1:17">
      <c r="A12">
        <v>10</v>
      </c>
      <c r="B12" t="s">
        <v>335</v>
      </c>
      <c r="C12" t="s">
        <v>336</v>
      </c>
      <c r="E12" s="202">
        <v>18609</v>
      </c>
      <c r="F12" s="202">
        <f>+[26]Workings!J13</f>
        <v>5069.55</v>
      </c>
      <c r="G12" s="208">
        <f t="shared" si="1"/>
        <v>23678.55</v>
      </c>
      <c r="I12" s="202">
        <f t="shared" si="2"/>
        <v>20469.900000000001</v>
      </c>
      <c r="J12" s="202">
        <f>+[26]Workings!Y13</f>
        <v>5486.5050000000001</v>
      </c>
      <c r="K12" s="202">
        <f t="shared" si="0"/>
        <v>1023.4950000000001</v>
      </c>
      <c r="L12" s="208">
        <f t="shared" si="3"/>
        <v>26979.9</v>
      </c>
      <c r="O12" s="202">
        <f>+'[26]Confirmed Salaries Projects'!T33</f>
        <v>0</v>
      </c>
      <c r="P12" s="202">
        <f>+L12*0.5</f>
        <v>13489.95</v>
      </c>
      <c r="Q12" s="208">
        <f t="shared" si="4"/>
        <v>13489.95</v>
      </c>
    </row>
    <row r="13" spans="1:17">
      <c r="A13">
        <v>11</v>
      </c>
      <c r="B13" t="s">
        <v>337</v>
      </c>
      <c r="C13" t="s">
        <v>338</v>
      </c>
      <c r="D13" t="s">
        <v>339</v>
      </c>
      <c r="E13" s="202">
        <v>18504</v>
      </c>
      <c r="F13" s="202">
        <f>+[26]Workings!J14</f>
        <v>5069.55</v>
      </c>
      <c r="G13" s="208">
        <f t="shared" si="1"/>
        <v>23573.55</v>
      </c>
      <c r="I13" s="202">
        <f t="shared" si="2"/>
        <v>20354.400000000001</v>
      </c>
      <c r="J13" s="202">
        <f>+[26]Workings!Y14</f>
        <v>5486.5050000000001</v>
      </c>
      <c r="K13" s="202">
        <f t="shared" si="0"/>
        <v>1017.7200000000001</v>
      </c>
      <c r="L13" s="208">
        <f t="shared" si="3"/>
        <v>26858.625000000004</v>
      </c>
      <c r="O13" s="202">
        <f>+'[26]Confirmed Salaries Projects'!T15</f>
        <v>25836.219885613726</v>
      </c>
      <c r="P13" s="202">
        <f>+L13*1</f>
        <v>26858.625000000004</v>
      </c>
      <c r="Q13" s="208">
        <f t="shared" si="4"/>
        <v>-25836.219885613726</v>
      </c>
    </row>
    <row r="14" spans="1:17">
      <c r="A14">
        <v>12</v>
      </c>
      <c r="B14" t="s">
        <v>340</v>
      </c>
      <c r="C14" t="s">
        <v>341</v>
      </c>
      <c r="E14" s="202">
        <v>16100</v>
      </c>
      <c r="F14" s="202">
        <f>+[26]Workings!J15</f>
        <v>4807.8900000000003</v>
      </c>
      <c r="G14" s="208">
        <f t="shared" si="1"/>
        <v>20907.89</v>
      </c>
      <c r="I14" s="202">
        <f t="shared" si="2"/>
        <v>17710</v>
      </c>
      <c r="J14" s="202">
        <f>+[26]Workings!Y15</f>
        <v>5198.6790000000001</v>
      </c>
      <c r="K14" s="202">
        <f t="shared" si="0"/>
        <v>885.5</v>
      </c>
      <c r="L14" s="208">
        <f t="shared" si="3"/>
        <v>23794.179</v>
      </c>
      <c r="O14" s="202">
        <v>0</v>
      </c>
      <c r="P14" s="202">
        <v>0</v>
      </c>
      <c r="Q14" s="208">
        <f t="shared" si="4"/>
        <v>23794.179</v>
      </c>
    </row>
    <row r="15" spans="1:17">
      <c r="A15">
        <v>13</v>
      </c>
      <c r="B15" t="s">
        <v>342</v>
      </c>
      <c r="C15" t="s">
        <v>343</v>
      </c>
      <c r="E15" s="202">
        <v>15997</v>
      </c>
      <c r="F15" s="202">
        <f>+[26]Workings!J16</f>
        <v>4785.84</v>
      </c>
      <c r="G15" s="208">
        <f t="shared" si="1"/>
        <v>20782.84</v>
      </c>
      <c r="I15" s="202">
        <f t="shared" si="2"/>
        <v>17596.7</v>
      </c>
      <c r="J15" s="202">
        <f>+[26]Workings!Y16</f>
        <v>5174.4240000000009</v>
      </c>
      <c r="K15" s="202">
        <f t="shared" si="0"/>
        <v>879.83500000000004</v>
      </c>
      <c r="L15" s="208">
        <f t="shared" si="3"/>
        <v>23650.959000000003</v>
      </c>
      <c r="O15" s="202">
        <v>0</v>
      </c>
      <c r="P15" s="202">
        <v>0</v>
      </c>
      <c r="Q15" s="208">
        <f t="shared" si="4"/>
        <v>23650.959000000003</v>
      </c>
    </row>
    <row r="16" spans="1:17">
      <c r="A16">
        <v>14</v>
      </c>
      <c r="B16" t="s">
        <v>344</v>
      </c>
      <c r="C16" t="s">
        <v>345</v>
      </c>
      <c r="E16" s="202">
        <v>15153</v>
      </c>
      <c r="F16" s="202">
        <f>+[26]Workings!J17</f>
        <v>4281</v>
      </c>
      <c r="G16" s="208">
        <f t="shared" si="1"/>
        <v>19434</v>
      </c>
      <c r="I16" s="202">
        <f t="shared" si="2"/>
        <v>16668.300000000003</v>
      </c>
      <c r="J16" s="202">
        <f>+[26]Workings!Y17</f>
        <v>4619.1000000000004</v>
      </c>
      <c r="K16" s="202">
        <f t="shared" si="0"/>
        <v>833.41500000000019</v>
      </c>
      <c r="L16" s="208">
        <f t="shared" si="3"/>
        <v>22120.815000000002</v>
      </c>
      <c r="O16" s="202"/>
      <c r="P16">
        <f>+L16*0.4</f>
        <v>8848.3260000000009</v>
      </c>
      <c r="Q16" s="208">
        <f t="shared" si="4"/>
        <v>13272.489000000001</v>
      </c>
    </row>
    <row r="17" spans="1:17">
      <c r="A17">
        <v>15</v>
      </c>
      <c r="B17" t="s">
        <v>346</v>
      </c>
      <c r="C17" t="s">
        <v>347</v>
      </c>
      <c r="D17" t="s">
        <v>323</v>
      </c>
      <c r="E17" s="202">
        <v>15153</v>
      </c>
      <c r="F17" s="202">
        <f>+[26]Workings!J18</f>
        <v>4259.369999999999</v>
      </c>
      <c r="G17" s="208">
        <f t="shared" si="1"/>
        <v>19412.37</v>
      </c>
      <c r="I17" s="202">
        <f t="shared" si="2"/>
        <v>16668.300000000003</v>
      </c>
      <c r="J17" s="202">
        <f>+[26]Workings!Y18</f>
        <v>4595.3070000000007</v>
      </c>
      <c r="K17" s="202">
        <f t="shared" si="0"/>
        <v>833.41500000000019</v>
      </c>
      <c r="L17" s="208">
        <f t="shared" si="3"/>
        <v>22097.022000000004</v>
      </c>
      <c r="O17" s="202"/>
      <c r="P17" s="202">
        <f>+L16*0.5</f>
        <v>11060.407500000001</v>
      </c>
      <c r="Q17" s="208">
        <f t="shared" si="4"/>
        <v>11036.614500000003</v>
      </c>
    </row>
    <row r="18" spans="1:17">
      <c r="A18">
        <v>16</v>
      </c>
      <c r="B18" t="s">
        <v>348</v>
      </c>
      <c r="C18" t="s">
        <v>349</v>
      </c>
      <c r="E18" s="202">
        <v>15153</v>
      </c>
      <c r="F18" s="202">
        <f>+[26]Workings!J19</f>
        <v>4082.13</v>
      </c>
      <c r="G18" s="208">
        <f t="shared" si="1"/>
        <v>19235.13</v>
      </c>
      <c r="I18" s="202">
        <f t="shared" si="2"/>
        <v>16668.300000000003</v>
      </c>
      <c r="J18" s="202">
        <f>+[26]Workings!Y19</f>
        <v>4400.3430000000008</v>
      </c>
      <c r="K18" s="202">
        <f t="shared" si="0"/>
        <v>833.41500000000019</v>
      </c>
      <c r="L18" s="208">
        <f t="shared" si="3"/>
        <v>21902.058000000005</v>
      </c>
      <c r="O18" s="202">
        <f>+'[26]Confirmed Salaries Projects'!T22</f>
        <v>0</v>
      </c>
      <c r="P18" s="202"/>
      <c r="Q18" s="208">
        <f t="shared" si="4"/>
        <v>21902.058000000005</v>
      </c>
    </row>
    <row r="19" spans="1:17">
      <c r="A19">
        <v>17</v>
      </c>
      <c r="B19" t="s">
        <v>350</v>
      </c>
      <c r="C19" t="s">
        <v>351</v>
      </c>
      <c r="D19" t="s">
        <v>352</v>
      </c>
      <c r="E19" s="202">
        <v>15118</v>
      </c>
      <c r="F19" s="202">
        <f>+[26]Workings!J20</f>
        <v>4082.13</v>
      </c>
      <c r="G19" s="208">
        <f t="shared" si="1"/>
        <v>19200.13</v>
      </c>
      <c r="I19" s="202">
        <f t="shared" si="2"/>
        <v>16629.800000000003</v>
      </c>
      <c r="J19" s="202">
        <f>+[26]Workings!Y20</f>
        <v>4400.3430000000008</v>
      </c>
      <c r="K19" s="202">
        <f t="shared" si="0"/>
        <v>831.49000000000024</v>
      </c>
      <c r="L19" s="208">
        <f t="shared" si="3"/>
        <v>21861.633000000005</v>
      </c>
      <c r="O19" s="202">
        <f>+'[26]Confirmed Salaries Projects'!T19</f>
        <v>0</v>
      </c>
      <c r="P19" s="202">
        <f>+L19*0.3</f>
        <v>6558.4899000000014</v>
      </c>
      <c r="Q19" s="208">
        <f t="shared" si="4"/>
        <v>15303.143100000005</v>
      </c>
    </row>
    <row r="20" spans="1:17">
      <c r="A20">
        <v>18</v>
      </c>
      <c r="B20" t="s">
        <v>353</v>
      </c>
      <c r="C20" t="s">
        <v>354</v>
      </c>
      <c r="E20" s="202">
        <v>13899</v>
      </c>
      <c r="F20" s="202">
        <f>+[26]Workings!J21</f>
        <v>4082.13</v>
      </c>
      <c r="G20" s="208">
        <f t="shared" si="1"/>
        <v>17981.13</v>
      </c>
      <c r="I20" s="202">
        <f t="shared" si="2"/>
        <v>15288.900000000001</v>
      </c>
      <c r="J20" s="202">
        <f>+[26]Workings!Y21</f>
        <v>4400.3430000000008</v>
      </c>
      <c r="K20" s="202">
        <f t="shared" si="0"/>
        <v>764.44500000000016</v>
      </c>
      <c r="L20" s="208">
        <f t="shared" si="3"/>
        <v>20453.688000000002</v>
      </c>
      <c r="O20" s="202">
        <f>+'[26]Confirmed Salaries Projects'!T27</f>
        <v>17562.956666666669</v>
      </c>
      <c r="P20" s="202"/>
      <c r="Q20" s="208">
        <f t="shared" si="4"/>
        <v>2890.7313333333332</v>
      </c>
    </row>
    <row r="21" spans="1:17">
      <c r="A21">
        <v>19</v>
      </c>
      <c r="B21" t="s">
        <v>355</v>
      </c>
      <c r="C21" t="s">
        <v>356</v>
      </c>
      <c r="E21" s="202">
        <v>13895.7</v>
      </c>
      <c r="F21" s="202">
        <f>+[26]Workings!J22</f>
        <v>4074.7799999999997</v>
      </c>
      <c r="G21" s="208">
        <f t="shared" si="1"/>
        <v>17970.48</v>
      </c>
      <c r="I21" s="202">
        <f t="shared" si="2"/>
        <v>15285.270000000002</v>
      </c>
      <c r="J21" s="202">
        <f>+[26]Workings!Y22</f>
        <v>4392.2580000000007</v>
      </c>
      <c r="K21" s="202">
        <f t="shared" si="0"/>
        <v>764.26350000000014</v>
      </c>
      <c r="L21" s="208">
        <f t="shared" si="3"/>
        <v>20441.791500000003</v>
      </c>
      <c r="O21" s="202">
        <f>+'[26]Confirmed Salaries Projects'!T23</f>
        <v>0</v>
      </c>
      <c r="P21" s="202"/>
      <c r="Q21" s="208">
        <f t="shared" si="4"/>
        <v>20441.791500000003</v>
      </c>
    </row>
    <row r="22" spans="1:17">
      <c r="A22">
        <v>20</v>
      </c>
      <c r="B22" t="s">
        <v>357</v>
      </c>
      <c r="C22" t="s">
        <v>358</v>
      </c>
      <c r="E22" s="202">
        <v>13895.7</v>
      </c>
      <c r="F22" s="202">
        <f>+[26]Workings!J23</f>
        <v>3818.79</v>
      </c>
      <c r="G22" s="208">
        <f t="shared" si="1"/>
        <v>17714.490000000002</v>
      </c>
      <c r="I22" s="202">
        <f t="shared" si="2"/>
        <v>15285.270000000002</v>
      </c>
      <c r="J22" s="202">
        <f>+[26]Workings!Y23</f>
        <v>4110.6689999999999</v>
      </c>
      <c r="K22" s="202">
        <f t="shared" si="0"/>
        <v>764.26350000000014</v>
      </c>
      <c r="L22" s="208">
        <f t="shared" si="3"/>
        <v>20160.202500000003</v>
      </c>
      <c r="O22" s="202">
        <f>+'[26]Confirmed Salaries Projects'!T24</f>
        <v>21269.244068</v>
      </c>
      <c r="P22" s="202"/>
      <c r="Q22" s="208">
        <f t="shared" si="4"/>
        <v>-1109.0415679999969</v>
      </c>
    </row>
    <row r="23" spans="1:17">
      <c r="A23">
        <v>21</v>
      </c>
      <c r="B23" t="s">
        <v>359</v>
      </c>
      <c r="C23" t="s">
        <v>360</v>
      </c>
      <c r="E23" s="202">
        <v>13267</v>
      </c>
      <c r="F23" s="202">
        <f>+[26]Workings!J24</f>
        <v>3818.0970000000002</v>
      </c>
      <c r="G23" s="208">
        <f t="shared" si="1"/>
        <v>17085.097000000002</v>
      </c>
      <c r="I23" s="202">
        <f t="shared" si="2"/>
        <v>14593.7</v>
      </c>
      <c r="J23" s="202">
        <f>+[26]Workings!Y24</f>
        <v>4109.9066999999995</v>
      </c>
      <c r="K23" s="202">
        <f t="shared" si="0"/>
        <v>729.68500000000006</v>
      </c>
      <c r="L23" s="208">
        <f t="shared" si="3"/>
        <v>19433.291700000002</v>
      </c>
      <c r="O23" s="202">
        <f>+'[26]Confirmed Salaries Projects'!T32</f>
        <v>0</v>
      </c>
      <c r="Q23" s="208">
        <f t="shared" si="4"/>
        <v>19433.291700000002</v>
      </c>
    </row>
    <row r="24" spans="1:17">
      <c r="A24">
        <v>22</v>
      </c>
      <c r="B24" t="s">
        <v>361</v>
      </c>
      <c r="C24" t="s">
        <v>362</v>
      </c>
      <c r="D24" t="s">
        <v>363</v>
      </c>
      <c r="E24" s="202">
        <v>13234</v>
      </c>
      <c r="F24" s="202">
        <f>+[26]Workings!J25</f>
        <v>3818.0970000000002</v>
      </c>
      <c r="G24" s="208">
        <f t="shared" si="1"/>
        <v>17052.097000000002</v>
      </c>
      <c r="I24" s="202">
        <f t="shared" si="2"/>
        <v>14557.400000000001</v>
      </c>
      <c r="J24" s="202">
        <f>+[26]Workings!Y25</f>
        <v>4109.9066999999995</v>
      </c>
      <c r="K24" s="202">
        <f t="shared" si="0"/>
        <v>727.87000000000012</v>
      </c>
      <c r="L24" s="208">
        <f t="shared" si="3"/>
        <v>19395.1767</v>
      </c>
      <c r="O24" s="202">
        <f>+'[26]Confirmed Salaries Projects'!T25</f>
        <v>0</v>
      </c>
      <c r="Q24" s="208">
        <f t="shared" si="4"/>
        <v>19395.1767</v>
      </c>
    </row>
    <row r="25" spans="1:17">
      <c r="A25">
        <v>23</v>
      </c>
      <c r="B25" t="s">
        <v>364</v>
      </c>
      <c r="C25" t="s">
        <v>365</v>
      </c>
      <c r="D25" t="s">
        <v>366</v>
      </c>
      <c r="E25" s="202">
        <v>13234</v>
      </c>
      <c r="F25" s="202">
        <f>+[26]Workings!J26</f>
        <v>3686.07</v>
      </c>
      <c r="G25" s="208">
        <f t="shared" si="1"/>
        <v>16920.07</v>
      </c>
      <c r="I25" s="202">
        <f t="shared" si="2"/>
        <v>14557.400000000001</v>
      </c>
      <c r="J25" s="202">
        <f>+[26]Workings!Y26</f>
        <v>3964.6769999999997</v>
      </c>
      <c r="K25" s="202">
        <f t="shared" si="0"/>
        <v>727.87000000000012</v>
      </c>
      <c r="L25" s="208">
        <f t="shared" si="3"/>
        <v>19249.947</v>
      </c>
      <c r="O25" s="202">
        <f>+'[26]Confirmed Salaries Projects'!T26</f>
        <v>13234</v>
      </c>
      <c r="Q25" s="208">
        <f t="shared" si="4"/>
        <v>6015.9470000000001</v>
      </c>
    </row>
    <row r="26" spans="1:17">
      <c r="A26">
        <v>24</v>
      </c>
      <c r="B26" t="s">
        <v>337</v>
      </c>
      <c r="C26" t="s">
        <v>367</v>
      </c>
      <c r="E26" s="202">
        <v>12929</v>
      </c>
      <c r="F26" s="202">
        <f>+[26]Workings!J27</f>
        <v>3679.1400000000003</v>
      </c>
      <c r="G26" s="208">
        <f t="shared" si="1"/>
        <v>16608.14</v>
      </c>
      <c r="I26" s="202">
        <f t="shared" si="2"/>
        <v>14221.900000000001</v>
      </c>
      <c r="J26" s="202">
        <f>+[26]Workings!Y27</f>
        <v>3957.0540000000005</v>
      </c>
      <c r="K26" s="202">
        <f t="shared" si="0"/>
        <v>711.09500000000014</v>
      </c>
      <c r="L26" s="208">
        <f t="shared" si="3"/>
        <v>18890.049000000003</v>
      </c>
      <c r="O26" s="209">
        <f>+L26</f>
        <v>18890.049000000003</v>
      </c>
      <c r="Q26" s="208">
        <f t="shared" si="4"/>
        <v>0</v>
      </c>
    </row>
    <row r="27" spans="1:17">
      <c r="A27">
        <v>25</v>
      </c>
      <c r="B27" t="s">
        <v>368</v>
      </c>
      <c r="C27" t="s">
        <v>369</v>
      </c>
      <c r="D27" t="s">
        <v>370</v>
      </c>
      <c r="E27" s="202">
        <v>12885.9</v>
      </c>
      <c r="F27" s="202">
        <f>+[26]Workings!J28</f>
        <v>3679.1400000000003</v>
      </c>
      <c r="G27" s="208">
        <f t="shared" si="1"/>
        <v>16565.04</v>
      </c>
      <c r="I27" s="202">
        <f t="shared" si="2"/>
        <v>14174.490000000002</v>
      </c>
      <c r="J27" s="202">
        <f>+[26]Workings!Y28</f>
        <v>3957.0540000000005</v>
      </c>
      <c r="K27" s="202">
        <f t="shared" si="0"/>
        <v>708.72450000000015</v>
      </c>
      <c r="L27" s="208">
        <f t="shared" si="3"/>
        <v>18840.268500000002</v>
      </c>
      <c r="O27" s="209">
        <f>+L27</f>
        <v>18840.268500000002</v>
      </c>
      <c r="Q27" s="208">
        <f t="shared" si="4"/>
        <v>0</v>
      </c>
    </row>
    <row r="28" spans="1:17">
      <c r="A28">
        <v>26</v>
      </c>
      <c r="B28" t="s">
        <v>371</v>
      </c>
      <c r="C28" t="s">
        <v>372</v>
      </c>
      <c r="D28" t="s">
        <v>373</v>
      </c>
      <c r="E28" s="202">
        <v>12016.3</v>
      </c>
      <c r="F28" s="202">
        <f>+[26]Workings!J29</f>
        <v>3615.09</v>
      </c>
      <c r="G28" s="208">
        <f t="shared" si="1"/>
        <v>15631.39</v>
      </c>
      <c r="I28" s="202">
        <f t="shared" si="2"/>
        <v>13217.93</v>
      </c>
      <c r="J28" s="202">
        <f>+[26]Workings!Y29</f>
        <v>3886.5990000000006</v>
      </c>
      <c r="K28" s="202">
        <f t="shared" si="0"/>
        <v>660.89650000000006</v>
      </c>
      <c r="L28" s="208">
        <f t="shared" si="3"/>
        <v>17765.425500000001</v>
      </c>
      <c r="O28" s="209">
        <f>+L28</f>
        <v>17765.425500000001</v>
      </c>
      <c r="Q28" s="208">
        <f t="shared" si="4"/>
        <v>0</v>
      </c>
    </row>
    <row r="29" spans="1:17">
      <c r="A29">
        <v>27</v>
      </c>
      <c r="B29" t="s">
        <v>374</v>
      </c>
      <c r="C29" t="s">
        <v>375</v>
      </c>
      <c r="E29" s="202">
        <v>12003</v>
      </c>
      <c r="F29" s="202">
        <f>+[26]Workings!J30</f>
        <v>3606.0389999999998</v>
      </c>
      <c r="G29" s="208">
        <f t="shared" si="1"/>
        <v>15609.039000000001</v>
      </c>
      <c r="I29" s="202">
        <f t="shared" si="2"/>
        <v>13203.300000000001</v>
      </c>
      <c r="J29" s="202">
        <f>+[26]Workings!Y30</f>
        <v>3876.6429000000007</v>
      </c>
      <c r="K29" s="202">
        <f t="shared" si="0"/>
        <v>660.16500000000008</v>
      </c>
      <c r="L29" s="208">
        <f t="shared" si="3"/>
        <v>17740.107900000003</v>
      </c>
      <c r="O29" s="202">
        <v>0</v>
      </c>
      <c r="Q29" s="208">
        <f t="shared" si="4"/>
        <v>17740.107900000003</v>
      </c>
    </row>
    <row r="30" spans="1:17">
      <c r="A30">
        <v>28</v>
      </c>
      <c r="B30" t="s">
        <v>376</v>
      </c>
      <c r="C30" t="s">
        <v>377</v>
      </c>
      <c r="D30" t="s">
        <v>378</v>
      </c>
      <c r="E30" s="202">
        <v>12003</v>
      </c>
      <c r="F30" s="202">
        <f>+[26]Workings!J31</f>
        <v>3423.4229999999998</v>
      </c>
      <c r="G30" s="208">
        <f t="shared" si="1"/>
        <v>15426.422999999999</v>
      </c>
      <c r="I30" s="202">
        <f t="shared" si="2"/>
        <v>13203.300000000001</v>
      </c>
      <c r="J30" s="202">
        <f>+[26]Workings!Y31</f>
        <v>3675.7653</v>
      </c>
      <c r="K30" s="202">
        <f t="shared" si="0"/>
        <v>660.16500000000008</v>
      </c>
      <c r="L30" s="208">
        <f t="shared" si="3"/>
        <v>17539.230300000003</v>
      </c>
      <c r="O30" s="202">
        <v>0</v>
      </c>
      <c r="Q30" s="208">
        <f t="shared" si="4"/>
        <v>17539.230300000003</v>
      </c>
    </row>
    <row r="31" spans="1:17">
      <c r="A31">
        <v>29</v>
      </c>
      <c r="B31" t="s">
        <v>379</v>
      </c>
      <c r="C31" t="s">
        <v>322</v>
      </c>
      <c r="E31" s="202">
        <v>12003</v>
      </c>
      <c r="F31" s="202">
        <f>+[26]Workings!J32</f>
        <v>3420.63</v>
      </c>
      <c r="G31" s="208">
        <f t="shared" si="1"/>
        <v>15423.630000000001</v>
      </c>
      <c r="I31" s="202">
        <f t="shared" si="2"/>
        <v>13203.300000000001</v>
      </c>
      <c r="J31" s="202">
        <f>+[26]Workings!Y32</f>
        <v>3672.6930000000002</v>
      </c>
      <c r="K31" s="202">
        <f t="shared" si="0"/>
        <v>660.16500000000008</v>
      </c>
      <c r="L31" s="208">
        <f t="shared" si="3"/>
        <v>17536.158000000003</v>
      </c>
      <c r="O31" s="202">
        <f>+'[26]Confirmed Salaries Projects'!T37</f>
        <v>0</v>
      </c>
      <c r="Q31" s="208">
        <f t="shared" si="4"/>
        <v>17536.158000000003</v>
      </c>
    </row>
    <row r="32" spans="1:17">
      <c r="A32">
        <v>30</v>
      </c>
      <c r="B32" t="s">
        <v>380</v>
      </c>
      <c r="C32" t="s">
        <v>381</v>
      </c>
      <c r="D32" t="s">
        <v>332</v>
      </c>
      <c r="E32" s="202">
        <v>12003</v>
      </c>
      <c r="F32" s="202">
        <f>+[26]Workings!J33</f>
        <v>3420.63</v>
      </c>
      <c r="G32" s="208">
        <f t="shared" si="1"/>
        <v>15423.630000000001</v>
      </c>
      <c r="I32" s="202">
        <f t="shared" si="2"/>
        <v>13203.300000000001</v>
      </c>
      <c r="J32" s="202">
        <f>+[26]Workings!Y33</f>
        <v>3672.6930000000002</v>
      </c>
      <c r="K32" s="202">
        <f t="shared" si="0"/>
        <v>660.16500000000008</v>
      </c>
      <c r="L32" s="208">
        <f t="shared" si="3"/>
        <v>17536.158000000003</v>
      </c>
      <c r="O32" s="202">
        <v>0</v>
      </c>
      <c r="Q32" s="208">
        <f t="shared" si="4"/>
        <v>17536.158000000003</v>
      </c>
    </row>
    <row r="33" spans="1:17">
      <c r="A33">
        <v>31</v>
      </c>
      <c r="B33" t="s">
        <v>382</v>
      </c>
      <c r="C33" t="s">
        <v>383</v>
      </c>
      <c r="E33" s="202">
        <v>11146.74</v>
      </c>
      <c r="F33" s="202">
        <f>+[26]Workings!J34</f>
        <v>3420.63</v>
      </c>
      <c r="G33" s="208">
        <f t="shared" si="1"/>
        <v>14567.369999999999</v>
      </c>
      <c r="I33" s="202">
        <f t="shared" si="2"/>
        <v>12261.414000000001</v>
      </c>
      <c r="J33" s="202">
        <f>+[26]Workings!Y34</f>
        <v>3672.6930000000002</v>
      </c>
      <c r="K33" s="202">
        <f t="shared" si="0"/>
        <v>613.0707000000001</v>
      </c>
      <c r="L33" s="208">
        <f t="shared" si="3"/>
        <v>16547.1777</v>
      </c>
      <c r="O33" s="209">
        <f>+L33</f>
        <v>16547.1777</v>
      </c>
      <c r="Q33" s="208">
        <f t="shared" si="4"/>
        <v>0</v>
      </c>
    </row>
    <row r="34" spans="1:17">
      <c r="A34">
        <v>32</v>
      </c>
      <c r="B34" t="s">
        <v>384</v>
      </c>
      <c r="C34" t="s">
        <v>385</v>
      </c>
      <c r="E34" s="202">
        <v>10065.299999999999</v>
      </c>
      <c r="F34" s="202">
        <f>+[26]Workings!J35</f>
        <v>3420.63</v>
      </c>
      <c r="G34" s="208">
        <f t="shared" si="1"/>
        <v>13485.93</v>
      </c>
      <c r="I34" s="202">
        <f t="shared" si="2"/>
        <v>11071.83</v>
      </c>
      <c r="J34" s="202">
        <f>+[26]Workings!Y35</f>
        <v>3672.6930000000002</v>
      </c>
      <c r="K34" s="202">
        <f t="shared" si="0"/>
        <v>553.5915</v>
      </c>
      <c r="L34" s="208">
        <f t="shared" si="3"/>
        <v>15298.114500000001</v>
      </c>
      <c r="O34" s="202">
        <v>0</v>
      </c>
      <c r="Q34" s="208">
        <f t="shared" si="4"/>
        <v>15298.114500000001</v>
      </c>
    </row>
    <row r="35" spans="1:17">
      <c r="A35">
        <v>33</v>
      </c>
      <c r="B35" t="s">
        <v>325</v>
      </c>
      <c r="C35" t="s">
        <v>386</v>
      </c>
      <c r="E35" s="202">
        <v>9054</v>
      </c>
      <c r="F35" s="202">
        <f>+[26]Workings!J36</f>
        <v>3240.8154</v>
      </c>
      <c r="G35" s="208">
        <f t="shared" si="1"/>
        <v>12294.815399999999</v>
      </c>
      <c r="I35" s="202">
        <f t="shared" si="2"/>
        <v>9959.4000000000015</v>
      </c>
      <c r="J35" s="202">
        <f>+[26]Workings!Y36</f>
        <v>3474.8969400000001</v>
      </c>
      <c r="K35" s="202">
        <f t="shared" si="0"/>
        <v>497.97000000000008</v>
      </c>
      <c r="L35" s="208">
        <f t="shared" si="3"/>
        <v>13932.266940000001</v>
      </c>
      <c r="O35" s="202">
        <f>+'[26]Confirmed Salaries Projects'!T36</f>
        <v>14387.555399999999</v>
      </c>
      <c r="Q35" s="208">
        <f t="shared" si="4"/>
        <v>-455.28845999999794</v>
      </c>
    </row>
    <row r="36" spans="1:17">
      <c r="A36">
        <v>34</v>
      </c>
      <c r="B36" t="s">
        <v>387</v>
      </c>
      <c r="C36" t="s">
        <v>388</v>
      </c>
      <c r="E36" s="202">
        <v>7024</v>
      </c>
      <c r="F36" s="202">
        <f>+[26]Workings!J37</f>
        <v>3013.7129999999997</v>
      </c>
      <c r="G36" s="208">
        <f t="shared" si="1"/>
        <v>10037.713</v>
      </c>
      <c r="I36" s="202">
        <f t="shared" si="2"/>
        <v>7726.4000000000005</v>
      </c>
      <c r="J36" s="202">
        <f>+[26]Workings!Y37</f>
        <v>3225.0843</v>
      </c>
      <c r="K36" s="202">
        <f t="shared" si="0"/>
        <v>386.32000000000005</v>
      </c>
      <c r="L36" s="208">
        <f t="shared" si="3"/>
        <v>11337.8043</v>
      </c>
      <c r="O36" s="202">
        <v>0</v>
      </c>
      <c r="Q36" s="208">
        <f t="shared" si="4"/>
        <v>11337.8043</v>
      </c>
    </row>
    <row r="37" spans="1:17">
      <c r="A37">
        <v>35</v>
      </c>
      <c r="B37" t="s">
        <v>389</v>
      </c>
      <c r="C37" t="s">
        <v>390</v>
      </c>
      <c r="E37" s="202">
        <v>7000</v>
      </c>
      <c r="F37" s="202">
        <f>+[26]Workings!J38</f>
        <v>2801.34</v>
      </c>
      <c r="G37" s="208">
        <f t="shared" si="1"/>
        <v>9801.34</v>
      </c>
      <c r="I37" s="202">
        <f t="shared" si="2"/>
        <v>7700.0000000000009</v>
      </c>
      <c r="J37" s="202">
        <f>+[26]Workings!Y38</f>
        <v>2991.4740000000002</v>
      </c>
      <c r="K37" s="202">
        <f t="shared" si="0"/>
        <v>385.00000000000006</v>
      </c>
      <c r="L37" s="208">
        <f t="shared" si="3"/>
        <v>11076.474000000002</v>
      </c>
      <c r="O37" s="209">
        <f>+L37</f>
        <v>11076.474000000002</v>
      </c>
      <c r="Q37" s="208">
        <f t="shared" si="4"/>
        <v>0</v>
      </c>
    </row>
    <row r="38" spans="1:17">
      <c r="A38">
        <v>36</v>
      </c>
      <c r="B38" t="s">
        <v>391</v>
      </c>
      <c r="C38" t="s">
        <v>392</v>
      </c>
      <c r="E38" s="202">
        <v>6700</v>
      </c>
      <c r="F38" s="202">
        <f>+[26]Workings!J39</f>
        <v>2375.04</v>
      </c>
      <c r="G38" s="208">
        <f t="shared" si="1"/>
        <v>9075.0400000000009</v>
      </c>
      <c r="I38" s="202">
        <f t="shared" si="2"/>
        <v>7370.0000000000009</v>
      </c>
      <c r="J38" s="202">
        <f>+[26]Workings!Y39</f>
        <v>2522.5440000000003</v>
      </c>
      <c r="K38" s="202">
        <f t="shared" si="0"/>
        <v>368.50000000000006</v>
      </c>
      <c r="L38" s="208">
        <f t="shared" si="3"/>
        <v>10261.044000000002</v>
      </c>
      <c r="O38" s="202">
        <v>0</v>
      </c>
      <c r="Q38" s="208">
        <f t="shared" si="4"/>
        <v>10261.044000000002</v>
      </c>
    </row>
    <row r="39" spans="1:17">
      <c r="A39">
        <v>37</v>
      </c>
      <c r="B39" t="s">
        <v>393</v>
      </c>
      <c r="C39" t="s">
        <v>394</v>
      </c>
      <c r="E39" s="202">
        <v>6672</v>
      </c>
      <c r="F39" s="202">
        <f>+[26]Workings!J40</f>
        <v>2370</v>
      </c>
      <c r="G39" s="208">
        <f t="shared" si="1"/>
        <v>9042</v>
      </c>
      <c r="I39" s="202">
        <f t="shared" si="2"/>
        <v>7339.2000000000007</v>
      </c>
      <c r="J39" s="202">
        <f>+[26]Workings!Y40</f>
        <v>2517</v>
      </c>
      <c r="K39" s="202">
        <f t="shared" si="0"/>
        <v>366.96000000000004</v>
      </c>
      <c r="L39" s="208">
        <f t="shared" si="3"/>
        <v>10223.16</v>
      </c>
      <c r="O39" s="202">
        <v>0</v>
      </c>
      <c r="Q39" s="208">
        <f t="shared" si="4"/>
        <v>10223.16</v>
      </c>
    </row>
    <row r="40" spans="1:17">
      <c r="A40">
        <v>38</v>
      </c>
      <c r="B40" t="s">
        <v>395</v>
      </c>
      <c r="C40" t="s">
        <v>396</v>
      </c>
      <c r="E40" s="202">
        <v>6672</v>
      </c>
      <c r="F40" s="202">
        <f>+[26]Workings!J41</f>
        <v>2307</v>
      </c>
      <c r="G40" s="208">
        <f t="shared" si="1"/>
        <v>8979</v>
      </c>
      <c r="I40" s="202">
        <f t="shared" si="2"/>
        <v>7339.2000000000007</v>
      </c>
      <c r="J40" s="202">
        <f>+[26]Workings!Y41</f>
        <v>2447.6999999999998</v>
      </c>
      <c r="K40" s="202">
        <f t="shared" si="0"/>
        <v>366.96000000000004</v>
      </c>
      <c r="L40" s="208">
        <f t="shared" si="3"/>
        <v>10153.86</v>
      </c>
      <c r="O40" s="202"/>
      <c r="Q40" s="208">
        <f t="shared" si="4"/>
        <v>10153.86</v>
      </c>
    </row>
    <row r="41" spans="1:17">
      <c r="A41">
        <v>39</v>
      </c>
      <c r="B41" t="s">
        <v>397</v>
      </c>
      <c r="C41" t="s">
        <v>398</v>
      </c>
      <c r="E41" s="202">
        <v>5985</v>
      </c>
      <c r="F41" s="202">
        <f>+[26]Workings!J42</f>
        <v>2301.12</v>
      </c>
      <c r="G41" s="208">
        <f t="shared" si="1"/>
        <v>8286.119999999999</v>
      </c>
      <c r="I41" s="259">
        <f t="shared" si="2"/>
        <v>6583.5000000000009</v>
      </c>
      <c r="J41" s="202">
        <f>+[26]Workings!Y42</f>
        <v>2441.232</v>
      </c>
      <c r="K41" s="202">
        <f t="shared" si="0"/>
        <v>329.17500000000007</v>
      </c>
      <c r="L41" s="208">
        <f t="shared" si="3"/>
        <v>9353.9069999999992</v>
      </c>
      <c r="O41" s="202">
        <f>+'[26]Confirmed Salaries Projects'!T41</f>
        <v>0</v>
      </c>
      <c r="Q41" s="208">
        <f t="shared" si="4"/>
        <v>9353.9069999999992</v>
      </c>
    </row>
    <row r="42" spans="1:17">
      <c r="A42">
        <v>40</v>
      </c>
      <c r="B42" t="s">
        <v>399</v>
      </c>
      <c r="C42" t="s">
        <v>400</v>
      </c>
      <c r="E42" s="202">
        <v>5393</v>
      </c>
      <c r="F42" s="202">
        <f>+[26]Workings!J43</f>
        <v>2301.12</v>
      </c>
      <c r="G42" s="208">
        <f t="shared" si="1"/>
        <v>7694.12</v>
      </c>
      <c r="I42" s="202">
        <f t="shared" si="2"/>
        <v>5932.3</v>
      </c>
      <c r="J42" s="202">
        <f>+[26]Workings!Y43</f>
        <v>2441.232</v>
      </c>
      <c r="K42" s="202">
        <f t="shared" si="0"/>
        <v>296.61500000000001</v>
      </c>
      <c r="L42" s="208">
        <f t="shared" si="3"/>
        <v>8670.146999999999</v>
      </c>
      <c r="O42" s="202">
        <v>0</v>
      </c>
      <c r="P42">
        <f>+L42*0.5</f>
        <v>4335.0734999999995</v>
      </c>
      <c r="Q42" s="208">
        <f t="shared" si="4"/>
        <v>4335.0734999999995</v>
      </c>
    </row>
    <row r="43" spans="1:17">
      <c r="A43">
        <v>41</v>
      </c>
      <c r="B43" t="s">
        <v>401</v>
      </c>
      <c r="C43" t="s">
        <v>402</v>
      </c>
      <c r="E43" s="202">
        <v>4000</v>
      </c>
      <c r="F43" s="202">
        <f>+[26]Workings!J44</f>
        <v>2156.85</v>
      </c>
      <c r="G43" s="208">
        <f t="shared" si="1"/>
        <v>6156.85</v>
      </c>
      <c r="I43" s="202">
        <f t="shared" si="2"/>
        <v>4400</v>
      </c>
      <c r="J43" s="202">
        <f>+[26]Workings!Y44</f>
        <v>2282.5350000000003</v>
      </c>
      <c r="K43" s="202">
        <f t="shared" si="0"/>
        <v>220</v>
      </c>
      <c r="L43" s="208">
        <f t="shared" si="3"/>
        <v>6902.5349999999999</v>
      </c>
      <c r="O43" s="202">
        <f>+'[26]Confirmed Salaries Projects'!T44</f>
        <v>0</v>
      </c>
      <c r="Q43" s="208">
        <f t="shared" si="4"/>
        <v>6902.5349999999999</v>
      </c>
    </row>
    <row r="44" spans="1:17" ht="15" thickBot="1">
      <c r="E44" s="210">
        <f t="shared" ref="E44:L44" si="5">SUM(E3:E43)</f>
        <v>602555.87000000011</v>
      </c>
      <c r="F44" s="210">
        <f t="shared" si="5"/>
        <v>159664.20269999999</v>
      </c>
      <c r="G44" s="210">
        <f t="shared" si="5"/>
        <v>762220.0726999999</v>
      </c>
      <c r="H44" s="210">
        <f t="shared" si="5"/>
        <v>0</v>
      </c>
      <c r="I44" s="210">
        <f t="shared" si="5"/>
        <v>662811.45700000029</v>
      </c>
      <c r="J44" s="210">
        <f t="shared" si="5"/>
        <v>172120.62296999997</v>
      </c>
      <c r="K44" s="210">
        <f t="shared" si="5"/>
        <v>33140.572850000004</v>
      </c>
      <c r="L44" s="210">
        <f t="shared" si="5"/>
        <v>868072.65282000054</v>
      </c>
      <c r="M44" s="211"/>
      <c r="N44" s="211"/>
      <c r="O44" s="212">
        <f>SUM(O3:O43)</f>
        <v>229929.11302944057</v>
      </c>
      <c r="P44" s="213">
        <f>SUM(P3:P43)</f>
        <v>138659.587164</v>
      </c>
      <c r="Q44" s="213">
        <f>SUM(Q3:Q43)</f>
        <v>499483.95262655948</v>
      </c>
    </row>
    <row r="46" spans="1:17">
      <c r="K46" s="67">
        <f>L44*12</f>
        <v>10416871.833840007</v>
      </c>
    </row>
    <row r="47" spans="1:17">
      <c r="K47" s="220">
        <f>'2024-2028 Budget'!F33</f>
        <v>0</v>
      </c>
    </row>
    <row r="49" spans="11:11">
      <c r="K49" s="67">
        <f>K46-K47</f>
        <v>10416871.833840007</v>
      </c>
    </row>
    <row r="50" spans="11:11">
      <c r="K50" s="67">
        <f>K49/12</f>
        <v>868072.65282000054</v>
      </c>
    </row>
  </sheetData>
  <pageMargins left="0.7" right="0.7" top="0.75" bottom="0.75" header="0.3" footer="0.3"/>
  <customProperties>
    <customPr name="QAA_DRILLPATH_NODE_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U128"/>
  <sheetViews>
    <sheetView showGridLines="0" view="pageBreakPreview" topLeftCell="A71" zoomScale="72" zoomScaleNormal="70" zoomScaleSheetLayoutView="72" zoomScalePageLayoutView="70" workbookViewId="0">
      <selection activeCell="A98" sqref="A1:XFD1048576"/>
    </sheetView>
  </sheetViews>
  <sheetFormatPr defaultColWidth="8.81640625" defaultRowHeight="16"/>
  <cols>
    <col min="1" max="1" width="9.54296875" style="449" customWidth="1"/>
    <col min="2" max="2" width="57.54296875" style="443" customWidth="1"/>
    <col min="3" max="3" width="21.453125" style="443" customWidth="1"/>
    <col min="4" max="4" width="18.54296875" style="444" customWidth="1"/>
    <col min="5" max="5" width="8.54296875" style="443" customWidth="1"/>
    <col min="6" max="6" width="27.453125" style="444" customWidth="1"/>
    <col min="7" max="7" width="10.453125" style="443" customWidth="1"/>
    <col min="8" max="8" width="21" style="444" customWidth="1"/>
    <col min="9" max="9" width="11.1796875" style="443" customWidth="1"/>
    <col min="10" max="10" width="21.1796875" style="444" customWidth="1"/>
    <col min="11" max="11" width="9.453125" style="443" customWidth="1"/>
    <col min="12" max="12" width="17.453125" style="444" customWidth="1"/>
    <col min="13" max="13" width="6.453125" style="444" customWidth="1"/>
    <col min="14" max="14" width="17.453125" style="444" customWidth="1"/>
    <col min="15" max="15" width="10.453125" style="443" customWidth="1"/>
    <col min="16" max="16" width="19.453125" style="444" customWidth="1"/>
    <col min="17" max="17" width="17.453125" style="443" hidden="1" customWidth="1"/>
    <col min="18" max="18" width="43.81640625" style="446" customWidth="1"/>
    <col min="19" max="19" width="10.453125" style="447" hidden="1" customWidth="1"/>
    <col min="20" max="20" width="13.453125" style="447" hidden="1" customWidth="1"/>
    <col min="21" max="22" width="21.453125" style="443" hidden="1" customWidth="1"/>
    <col min="23" max="24" width="22" style="443" hidden="1" customWidth="1"/>
    <col min="25" max="26" width="22.453125" style="443" hidden="1" customWidth="1"/>
    <col min="27" max="28" width="22.81640625" style="443" hidden="1" customWidth="1"/>
    <col min="29" max="29" width="19.453125" style="443" hidden="1" customWidth="1"/>
    <col min="30" max="30" width="23.453125" style="447" hidden="1" customWidth="1"/>
    <col min="31" max="31" width="17.453125" style="444" hidden="1" customWidth="1"/>
    <col min="32" max="32" width="16" style="444" hidden="1" customWidth="1"/>
    <col min="33" max="34" width="17.453125" style="444" hidden="1" customWidth="1"/>
    <col min="35" max="35" width="16.453125" style="444" hidden="1" customWidth="1"/>
    <col min="36" max="36" width="9.1796875" style="447" hidden="1" customWidth="1"/>
    <col min="37" max="37" width="22.453125" style="448" hidden="1" customWidth="1"/>
    <col min="38" max="38" width="22.1796875" style="448" hidden="1" customWidth="1"/>
    <col min="39" max="40" width="17.453125" style="448" hidden="1" customWidth="1"/>
    <col min="41" max="41" width="18.1796875" style="448" hidden="1" customWidth="1"/>
    <col min="42" max="42" width="18.453125" style="449" hidden="1" customWidth="1"/>
    <col min="43" max="43" width="12.1796875" style="449" hidden="1" customWidth="1"/>
    <col min="44" max="44" width="21.54296875" style="449" customWidth="1"/>
    <col min="45" max="45" width="8.81640625" style="449"/>
    <col min="46" max="46" width="13.453125" style="449" customWidth="1"/>
    <col min="47" max="215" width="8.81640625" style="449"/>
    <col min="216" max="216" width="1.453125" style="449" customWidth="1"/>
    <col min="217" max="217" width="51.453125" style="449" customWidth="1"/>
    <col min="218" max="218" width="12.453125" style="449" customWidth="1"/>
    <col min="219" max="219" width="21.453125" style="449" bestFit="1" customWidth="1"/>
    <col min="220" max="220" width="12.453125" style="449" customWidth="1"/>
    <col min="221" max="221" width="14.453125" style="449" customWidth="1"/>
    <col min="222" max="222" width="15.1796875" style="449" customWidth="1"/>
    <col min="223" max="223" width="12.453125" style="449" bestFit="1" customWidth="1"/>
    <col min="224" max="224" width="13" style="449" customWidth="1"/>
    <col min="225" max="225" width="14.54296875" style="449" customWidth="1"/>
    <col min="226" max="226" width="44.453125" style="449" customWidth="1"/>
    <col min="227" max="227" width="34.54296875" style="449" customWidth="1"/>
    <col min="228" max="228" width="37.453125" style="449" customWidth="1"/>
    <col min="229" max="229" width="19.81640625" style="449" customWidth="1"/>
    <col min="230" max="254" width="8.81640625" style="449"/>
    <col min="255" max="255" width="9.54296875" style="449" customWidth="1"/>
    <col min="256" max="256" width="50.54296875" style="449" customWidth="1"/>
    <col min="257" max="257" width="14.81640625" style="449" customWidth="1"/>
    <col min="258" max="258" width="15.54296875" style="449" customWidth="1"/>
    <col min="259" max="259" width="8.54296875" style="449" bestFit="1" customWidth="1"/>
    <col min="260" max="260" width="21.1796875" style="449" customWidth="1"/>
    <col min="261" max="261" width="10.453125" style="449" customWidth="1"/>
    <col min="262" max="262" width="17.453125" style="449" customWidth="1"/>
    <col min="263" max="263" width="11.1796875" style="449" customWidth="1"/>
    <col min="264" max="264" width="17.453125" style="449" customWidth="1"/>
    <col min="265" max="265" width="9.453125" style="449" customWidth="1"/>
    <col min="266" max="266" width="17.453125" style="449" customWidth="1"/>
    <col min="267" max="267" width="10.453125" style="449" customWidth="1"/>
    <col min="268" max="268" width="19.453125" style="449" customWidth="1"/>
    <col min="269" max="269" width="17.453125" style="449" customWidth="1"/>
    <col min="270" max="270" width="43.81640625" style="449" customWidth="1"/>
    <col min="271" max="271" width="10.453125" style="449" customWidth="1"/>
    <col min="272" max="272" width="13.453125" style="449" customWidth="1"/>
    <col min="273" max="274" width="21.453125" style="449" customWidth="1"/>
    <col min="275" max="276" width="22" style="449" customWidth="1"/>
    <col min="277" max="277" width="22.453125" style="449" bestFit="1" customWidth="1"/>
    <col min="278" max="278" width="22.453125" style="449" customWidth="1"/>
    <col min="279" max="279" width="22.81640625" style="449" bestFit="1" customWidth="1"/>
    <col min="280" max="280" width="22.81640625" style="449" customWidth="1"/>
    <col min="281" max="281" width="19.453125" style="449" customWidth="1"/>
    <col min="282" max="282" width="8.81640625" style="449"/>
    <col min="283" max="283" width="17.453125" style="449" bestFit="1" customWidth="1"/>
    <col min="284" max="284" width="16" style="449" customWidth="1"/>
    <col min="285" max="286" width="17.453125" style="449" customWidth="1"/>
    <col min="287" max="287" width="16.453125" style="449" customWidth="1"/>
    <col min="288" max="288" width="8.81640625" style="449"/>
    <col min="289" max="289" width="22.453125" style="449" bestFit="1" customWidth="1"/>
    <col min="290" max="290" width="22.1796875" style="449" bestFit="1" customWidth="1"/>
    <col min="291" max="292" width="17.453125" style="449" customWidth="1"/>
    <col min="293" max="293" width="18.1796875" style="449" customWidth="1"/>
    <col min="294" max="471" width="8.81640625" style="449"/>
    <col min="472" max="472" width="1.453125" style="449" customWidth="1"/>
    <col min="473" max="473" width="51.453125" style="449" customWidth="1"/>
    <col min="474" max="474" width="12.453125" style="449" customWidth="1"/>
    <col min="475" max="475" width="21.453125" style="449" bestFit="1" customWidth="1"/>
    <col min="476" max="476" width="12.453125" style="449" customWidth="1"/>
    <col min="477" max="477" width="14.453125" style="449" customWidth="1"/>
    <col min="478" max="478" width="15.1796875" style="449" customWidth="1"/>
    <col min="479" max="479" width="12.453125" style="449" bestFit="1" customWidth="1"/>
    <col min="480" max="480" width="13" style="449" customWidth="1"/>
    <col min="481" max="481" width="14.54296875" style="449" customWidth="1"/>
    <col min="482" max="482" width="44.453125" style="449" customWidth="1"/>
    <col min="483" max="483" width="34.54296875" style="449" customWidth="1"/>
    <col min="484" max="484" width="37.453125" style="449" customWidth="1"/>
    <col min="485" max="485" width="19.81640625" style="449" customWidth="1"/>
    <col min="486" max="510" width="8.81640625" style="449"/>
    <col min="511" max="511" width="9.54296875" style="449" customWidth="1"/>
    <col min="512" max="512" width="50.54296875" style="449" customWidth="1"/>
    <col min="513" max="513" width="14.81640625" style="449" customWidth="1"/>
    <col min="514" max="514" width="15.54296875" style="449" customWidth="1"/>
    <col min="515" max="515" width="8.54296875" style="449" bestFit="1" customWidth="1"/>
    <col min="516" max="516" width="21.1796875" style="449" customWidth="1"/>
    <col min="517" max="517" width="10.453125" style="449" customWidth="1"/>
    <col min="518" max="518" width="17.453125" style="449" customWidth="1"/>
    <col min="519" max="519" width="11.1796875" style="449" customWidth="1"/>
    <col min="520" max="520" width="17.453125" style="449" customWidth="1"/>
    <col min="521" max="521" width="9.453125" style="449" customWidth="1"/>
    <col min="522" max="522" width="17.453125" style="449" customWidth="1"/>
    <col min="523" max="523" width="10.453125" style="449" customWidth="1"/>
    <col min="524" max="524" width="19.453125" style="449" customWidth="1"/>
    <col min="525" max="525" width="17.453125" style="449" customWidth="1"/>
    <col min="526" max="526" width="43.81640625" style="449" customWidth="1"/>
    <col min="527" max="527" width="10.453125" style="449" customWidth="1"/>
    <col min="528" max="528" width="13.453125" style="449" customWidth="1"/>
    <col min="529" max="530" width="21.453125" style="449" customWidth="1"/>
    <col min="531" max="532" width="22" style="449" customWidth="1"/>
    <col min="533" max="533" width="22.453125" style="449" bestFit="1" customWidth="1"/>
    <col min="534" max="534" width="22.453125" style="449" customWidth="1"/>
    <col min="535" max="535" width="22.81640625" style="449" bestFit="1" customWidth="1"/>
    <col min="536" max="536" width="22.81640625" style="449" customWidth="1"/>
    <col min="537" max="537" width="19.453125" style="449" customWidth="1"/>
    <col min="538" max="538" width="8.81640625" style="449"/>
    <col min="539" max="539" width="17.453125" style="449" bestFit="1" customWidth="1"/>
    <col min="540" max="540" width="16" style="449" customWidth="1"/>
    <col min="541" max="542" width="17.453125" style="449" customWidth="1"/>
    <col min="543" max="543" width="16.453125" style="449" customWidth="1"/>
    <col min="544" max="544" width="8.81640625" style="449"/>
    <col min="545" max="545" width="22.453125" style="449" bestFit="1" customWidth="1"/>
    <col min="546" max="546" width="22.1796875" style="449" bestFit="1" customWidth="1"/>
    <col min="547" max="548" width="17.453125" style="449" customWidth="1"/>
    <col min="549" max="549" width="18.1796875" style="449" customWidth="1"/>
    <col min="550" max="727" width="8.81640625" style="449"/>
    <col min="728" max="728" width="1.453125" style="449" customWidth="1"/>
    <col min="729" max="729" width="51.453125" style="449" customWidth="1"/>
    <col min="730" max="730" width="12.453125" style="449" customWidth="1"/>
    <col min="731" max="731" width="21.453125" style="449" bestFit="1" customWidth="1"/>
    <col min="732" max="732" width="12.453125" style="449" customWidth="1"/>
    <col min="733" max="733" width="14.453125" style="449" customWidth="1"/>
    <col min="734" max="734" width="15.1796875" style="449" customWidth="1"/>
    <col min="735" max="735" width="12.453125" style="449" bestFit="1" customWidth="1"/>
    <col min="736" max="736" width="13" style="449" customWidth="1"/>
    <col min="737" max="737" width="14.54296875" style="449" customWidth="1"/>
    <col min="738" max="738" width="44.453125" style="449" customWidth="1"/>
    <col min="739" max="739" width="34.54296875" style="449" customWidth="1"/>
    <col min="740" max="740" width="37.453125" style="449" customWidth="1"/>
    <col min="741" max="741" width="19.81640625" style="449" customWidth="1"/>
    <col min="742" max="766" width="8.81640625" style="449"/>
    <col min="767" max="767" width="9.54296875" style="449" customWidth="1"/>
    <col min="768" max="768" width="50.54296875" style="449" customWidth="1"/>
    <col min="769" max="769" width="14.81640625" style="449" customWidth="1"/>
    <col min="770" max="770" width="15.54296875" style="449" customWidth="1"/>
    <col min="771" max="771" width="8.54296875" style="449" bestFit="1" customWidth="1"/>
    <col min="772" max="772" width="21.1796875" style="449" customWidth="1"/>
    <col min="773" max="773" width="10.453125" style="449" customWidth="1"/>
    <col min="774" max="774" width="17.453125" style="449" customWidth="1"/>
    <col min="775" max="775" width="11.1796875" style="449" customWidth="1"/>
    <col min="776" max="776" width="17.453125" style="449" customWidth="1"/>
    <col min="777" max="777" width="9.453125" style="449" customWidth="1"/>
    <col min="778" max="778" width="17.453125" style="449" customWidth="1"/>
    <col min="779" max="779" width="10.453125" style="449" customWidth="1"/>
    <col min="780" max="780" width="19.453125" style="449" customWidth="1"/>
    <col min="781" max="781" width="17.453125" style="449" customWidth="1"/>
    <col min="782" max="782" width="43.81640625" style="449" customWidth="1"/>
    <col min="783" max="783" width="10.453125" style="449" customWidth="1"/>
    <col min="784" max="784" width="13.453125" style="449" customWidth="1"/>
    <col min="785" max="786" width="21.453125" style="449" customWidth="1"/>
    <col min="787" max="788" width="22" style="449" customWidth="1"/>
    <col min="789" max="789" width="22.453125" style="449" bestFit="1" customWidth="1"/>
    <col min="790" max="790" width="22.453125" style="449" customWidth="1"/>
    <col min="791" max="791" width="22.81640625" style="449" bestFit="1" customWidth="1"/>
    <col min="792" max="792" width="22.81640625" style="449" customWidth="1"/>
    <col min="793" max="793" width="19.453125" style="449" customWidth="1"/>
    <col min="794" max="794" width="8.81640625" style="449"/>
    <col min="795" max="795" width="17.453125" style="449" bestFit="1" customWidth="1"/>
    <col min="796" max="796" width="16" style="449" customWidth="1"/>
    <col min="797" max="798" width="17.453125" style="449" customWidth="1"/>
    <col min="799" max="799" width="16.453125" style="449" customWidth="1"/>
    <col min="800" max="800" width="8.81640625" style="449"/>
    <col min="801" max="801" width="22.453125" style="449" bestFit="1" customWidth="1"/>
    <col min="802" max="802" width="22.1796875" style="449" bestFit="1" customWidth="1"/>
    <col min="803" max="804" width="17.453125" style="449" customWidth="1"/>
    <col min="805" max="805" width="18.1796875" style="449" customWidth="1"/>
    <col min="806" max="983" width="8.81640625" style="449"/>
    <col min="984" max="984" width="1.453125" style="449" customWidth="1"/>
    <col min="985" max="985" width="51.453125" style="449" customWidth="1"/>
    <col min="986" max="986" width="12.453125" style="449" customWidth="1"/>
    <col min="987" max="987" width="21.453125" style="449" bestFit="1" customWidth="1"/>
    <col min="988" max="988" width="12.453125" style="449" customWidth="1"/>
    <col min="989" max="989" width="14.453125" style="449" customWidth="1"/>
    <col min="990" max="990" width="15.1796875" style="449" customWidth="1"/>
    <col min="991" max="991" width="12.453125" style="449" bestFit="1" customWidth="1"/>
    <col min="992" max="992" width="13" style="449" customWidth="1"/>
    <col min="993" max="993" width="14.54296875" style="449" customWidth="1"/>
    <col min="994" max="994" width="44.453125" style="449" customWidth="1"/>
    <col min="995" max="995" width="34.54296875" style="449" customWidth="1"/>
    <col min="996" max="996" width="37.453125" style="449" customWidth="1"/>
    <col min="997" max="997" width="19.81640625" style="449" customWidth="1"/>
    <col min="998" max="1022" width="8.81640625" style="449"/>
    <col min="1023" max="1023" width="9.54296875" style="449" customWidth="1"/>
    <col min="1024" max="1024" width="50.54296875" style="449" customWidth="1"/>
    <col min="1025" max="1025" width="14.81640625" style="449" customWidth="1"/>
    <col min="1026" max="1026" width="15.54296875" style="449" customWidth="1"/>
    <col min="1027" max="1027" width="8.54296875" style="449" bestFit="1" customWidth="1"/>
    <col min="1028" max="1028" width="21.1796875" style="449" customWidth="1"/>
    <col min="1029" max="1029" width="10.453125" style="449" customWidth="1"/>
    <col min="1030" max="1030" width="17.453125" style="449" customWidth="1"/>
    <col min="1031" max="1031" width="11.1796875" style="449" customWidth="1"/>
    <col min="1032" max="1032" width="17.453125" style="449" customWidth="1"/>
    <col min="1033" max="1033" width="9.453125" style="449" customWidth="1"/>
    <col min="1034" max="1034" width="17.453125" style="449" customWidth="1"/>
    <col min="1035" max="1035" width="10.453125" style="449" customWidth="1"/>
    <col min="1036" max="1036" width="19.453125" style="449" customWidth="1"/>
    <col min="1037" max="1037" width="17.453125" style="449" customWidth="1"/>
    <col min="1038" max="1038" width="43.81640625" style="449" customWidth="1"/>
    <col min="1039" max="1039" width="10.453125" style="449" customWidth="1"/>
    <col min="1040" max="1040" width="13.453125" style="449" customWidth="1"/>
    <col min="1041" max="1042" width="21.453125" style="449" customWidth="1"/>
    <col min="1043" max="1044" width="22" style="449" customWidth="1"/>
    <col min="1045" max="1045" width="22.453125" style="449" bestFit="1" customWidth="1"/>
    <col min="1046" max="1046" width="22.453125" style="449" customWidth="1"/>
    <col min="1047" max="1047" width="22.81640625" style="449" bestFit="1" customWidth="1"/>
    <col min="1048" max="1048" width="22.81640625" style="449" customWidth="1"/>
    <col min="1049" max="1049" width="19.453125" style="449" customWidth="1"/>
    <col min="1050" max="1050" width="8.81640625" style="449"/>
    <col min="1051" max="1051" width="17.453125" style="449" bestFit="1" customWidth="1"/>
    <col min="1052" max="1052" width="16" style="449" customWidth="1"/>
    <col min="1053" max="1054" width="17.453125" style="449" customWidth="1"/>
    <col min="1055" max="1055" width="16.453125" style="449" customWidth="1"/>
    <col min="1056" max="1056" width="8.81640625" style="449"/>
    <col min="1057" max="1057" width="22.453125" style="449" bestFit="1" customWidth="1"/>
    <col min="1058" max="1058" width="22.1796875" style="449" bestFit="1" customWidth="1"/>
    <col min="1059" max="1060" width="17.453125" style="449" customWidth="1"/>
    <col min="1061" max="1061" width="18.1796875" style="449" customWidth="1"/>
    <col min="1062" max="1239" width="8.81640625" style="449"/>
    <col min="1240" max="1240" width="1.453125" style="449" customWidth="1"/>
    <col min="1241" max="1241" width="51.453125" style="449" customWidth="1"/>
    <col min="1242" max="1242" width="12.453125" style="449" customWidth="1"/>
    <col min="1243" max="1243" width="21.453125" style="449" bestFit="1" customWidth="1"/>
    <col min="1244" max="1244" width="12.453125" style="449" customWidth="1"/>
    <col min="1245" max="1245" width="14.453125" style="449" customWidth="1"/>
    <col min="1246" max="1246" width="15.1796875" style="449" customWidth="1"/>
    <col min="1247" max="1247" width="12.453125" style="449" bestFit="1" customWidth="1"/>
    <col min="1248" max="1248" width="13" style="449" customWidth="1"/>
    <col min="1249" max="1249" width="14.54296875" style="449" customWidth="1"/>
    <col min="1250" max="1250" width="44.453125" style="449" customWidth="1"/>
    <col min="1251" max="1251" width="34.54296875" style="449" customWidth="1"/>
    <col min="1252" max="1252" width="37.453125" style="449" customWidth="1"/>
    <col min="1253" max="1253" width="19.81640625" style="449" customWidth="1"/>
    <col min="1254" max="1278" width="8.81640625" style="449"/>
    <col min="1279" max="1279" width="9.54296875" style="449" customWidth="1"/>
    <col min="1280" max="1280" width="50.54296875" style="449" customWidth="1"/>
    <col min="1281" max="1281" width="14.81640625" style="449" customWidth="1"/>
    <col min="1282" max="1282" width="15.54296875" style="449" customWidth="1"/>
    <col min="1283" max="1283" width="8.54296875" style="449" bestFit="1" customWidth="1"/>
    <col min="1284" max="1284" width="21.1796875" style="449" customWidth="1"/>
    <col min="1285" max="1285" width="10.453125" style="449" customWidth="1"/>
    <col min="1286" max="1286" width="17.453125" style="449" customWidth="1"/>
    <col min="1287" max="1287" width="11.1796875" style="449" customWidth="1"/>
    <col min="1288" max="1288" width="17.453125" style="449" customWidth="1"/>
    <col min="1289" max="1289" width="9.453125" style="449" customWidth="1"/>
    <col min="1290" max="1290" width="17.453125" style="449" customWidth="1"/>
    <col min="1291" max="1291" width="10.453125" style="449" customWidth="1"/>
    <col min="1292" max="1292" width="19.453125" style="449" customWidth="1"/>
    <col min="1293" max="1293" width="17.453125" style="449" customWidth="1"/>
    <col min="1294" max="1294" width="43.81640625" style="449" customWidth="1"/>
    <col min="1295" max="1295" width="10.453125" style="449" customWidth="1"/>
    <col min="1296" max="1296" width="13.453125" style="449" customWidth="1"/>
    <col min="1297" max="1298" width="21.453125" style="449" customWidth="1"/>
    <col min="1299" max="1300" width="22" style="449" customWidth="1"/>
    <col min="1301" max="1301" width="22.453125" style="449" bestFit="1" customWidth="1"/>
    <col min="1302" max="1302" width="22.453125" style="449" customWidth="1"/>
    <col min="1303" max="1303" width="22.81640625" style="449" bestFit="1" customWidth="1"/>
    <col min="1304" max="1304" width="22.81640625" style="449" customWidth="1"/>
    <col min="1305" max="1305" width="19.453125" style="449" customWidth="1"/>
    <col min="1306" max="1306" width="8.81640625" style="449"/>
    <col min="1307" max="1307" width="17.453125" style="449" bestFit="1" customWidth="1"/>
    <col min="1308" max="1308" width="16" style="449" customWidth="1"/>
    <col min="1309" max="1310" width="17.453125" style="449" customWidth="1"/>
    <col min="1311" max="1311" width="16.453125" style="449" customWidth="1"/>
    <col min="1312" max="1312" width="8.81640625" style="449"/>
    <col min="1313" max="1313" width="22.453125" style="449" bestFit="1" customWidth="1"/>
    <col min="1314" max="1314" width="22.1796875" style="449" bestFit="1" customWidth="1"/>
    <col min="1315" max="1316" width="17.453125" style="449" customWidth="1"/>
    <col min="1317" max="1317" width="18.1796875" style="449" customWidth="1"/>
    <col min="1318" max="1495" width="8.81640625" style="449"/>
    <col min="1496" max="1496" width="1.453125" style="449" customWidth="1"/>
    <col min="1497" max="1497" width="51.453125" style="449" customWidth="1"/>
    <col min="1498" max="1498" width="12.453125" style="449" customWidth="1"/>
    <col min="1499" max="1499" width="21.453125" style="449" bestFit="1" customWidth="1"/>
    <col min="1500" max="1500" width="12.453125" style="449" customWidth="1"/>
    <col min="1501" max="1501" width="14.453125" style="449" customWidth="1"/>
    <col min="1502" max="1502" width="15.1796875" style="449" customWidth="1"/>
    <col min="1503" max="1503" width="12.453125" style="449" bestFit="1" customWidth="1"/>
    <col min="1504" max="1504" width="13" style="449" customWidth="1"/>
    <col min="1505" max="1505" width="14.54296875" style="449" customWidth="1"/>
    <col min="1506" max="1506" width="44.453125" style="449" customWidth="1"/>
    <col min="1507" max="1507" width="34.54296875" style="449" customWidth="1"/>
    <col min="1508" max="1508" width="37.453125" style="449" customWidth="1"/>
    <col min="1509" max="1509" width="19.81640625" style="449" customWidth="1"/>
    <col min="1510" max="1534" width="8.81640625" style="449"/>
    <col min="1535" max="1535" width="9.54296875" style="449" customWidth="1"/>
    <col min="1536" max="1536" width="50.54296875" style="449" customWidth="1"/>
    <col min="1537" max="1537" width="14.81640625" style="449" customWidth="1"/>
    <col min="1538" max="1538" width="15.54296875" style="449" customWidth="1"/>
    <col min="1539" max="1539" width="8.54296875" style="449" bestFit="1" customWidth="1"/>
    <col min="1540" max="1540" width="21.1796875" style="449" customWidth="1"/>
    <col min="1541" max="1541" width="10.453125" style="449" customWidth="1"/>
    <col min="1542" max="1542" width="17.453125" style="449" customWidth="1"/>
    <col min="1543" max="1543" width="11.1796875" style="449" customWidth="1"/>
    <col min="1544" max="1544" width="17.453125" style="449" customWidth="1"/>
    <col min="1545" max="1545" width="9.453125" style="449" customWidth="1"/>
    <col min="1546" max="1546" width="17.453125" style="449" customWidth="1"/>
    <col min="1547" max="1547" width="10.453125" style="449" customWidth="1"/>
    <col min="1548" max="1548" width="19.453125" style="449" customWidth="1"/>
    <col min="1549" max="1549" width="17.453125" style="449" customWidth="1"/>
    <col min="1550" max="1550" width="43.81640625" style="449" customWidth="1"/>
    <col min="1551" max="1551" width="10.453125" style="449" customWidth="1"/>
    <col min="1552" max="1552" width="13.453125" style="449" customWidth="1"/>
    <col min="1553" max="1554" width="21.453125" style="449" customWidth="1"/>
    <col min="1555" max="1556" width="22" style="449" customWidth="1"/>
    <col min="1557" max="1557" width="22.453125" style="449" bestFit="1" customWidth="1"/>
    <col min="1558" max="1558" width="22.453125" style="449" customWidth="1"/>
    <col min="1559" max="1559" width="22.81640625" style="449" bestFit="1" customWidth="1"/>
    <col min="1560" max="1560" width="22.81640625" style="449" customWidth="1"/>
    <col min="1561" max="1561" width="19.453125" style="449" customWidth="1"/>
    <col min="1562" max="1562" width="8.81640625" style="449"/>
    <col min="1563" max="1563" width="17.453125" style="449" bestFit="1" customWidth="1"/>
    <col min="1564" max="1564" width="16" style="449" customWidth="1"/>
    <col min="1565" max="1566" width="17.453125" style="449" customWidth="1"/>
    <col min="1567" max="1567" width="16.453125" style="449" customWidth="1"/>
    <col min="1568" max="1568" width="8.81640625" style="449"/>
    <col min="1569" max="1569" width="22.453125" style="449" bestFit="1" customWidth="1"/>
    <col min="1570" max="1570" width="22.1796875" style="449" bestFit="1" customWidth="1"/>
    <col min="1571" max="1572" width="17.453125" style="449" customWidth="1"/>
    <col min="1573" max="1573" width="18.1796875" style="449" customWidth="1"/>
    <col min="1574" max="1751" width="8.81640625" style="449"/>
    <col min="1752" max="1752" width="1.453125" style="449" customWidth="1"/>
    <col min="1753" max="1753" width="51.453125" style="449" customWidth="1"/>
    <col min="1754" max="1754" width="12.453125" style="449" customWidth="1"/>
    <col min="1755" max="1755" width="21.453125" style="449" bestFit="1" customWidth="1"/>
    <col min="1756" max="1756" width="12.453125" style="449" customWidth="1"/>
    <col min="1757" max="1757" width="14.453125" style="449" customWidth="1"/>
    <col min="1758" max="1758" width="15.1796875" style="449" customWidth="1"/>
    <col min="1759" max="1759" width="12.453125" style="449" bestFit="1" customWidth="1"/>
    <col min="1760" max="1760" width="13" style="449" customWidth="1"/>
    <col min="1761" max="1761" width="14.54296875" style="449" customWidth="1"/>
    <col min="1762" max="1762" width="44.453125" style="449" customWidth="1"/>
    <col min="1763" max="1763" width="34.54296875" style="449" customWidth="1"/>
    <col min="1764" max="1764" width="37.453125" style="449" customWidth="1"/>
    <col min="1765" max="1765" width="19.81640625" style="449" customWidth="1"/>
    <col min="1766" max="1790" width="8.81640625" style="449"/>
    <col min="1791" max="1791" width="9.54296875" style="449" customWidth="1"/>
    <col min="1792" max="1792" width="50.54296875" style="449" customWidth="1"/>
    <col min="1793" max="1793" width="14.81640625" style="449" customWidth="1"/>
    <col min="1794" max="1794" width="15.54296875" style="449" customWidth="1"/>
    <col min="1795" max="1795" width="8.54296875" style="449" bestFit="1" customWidth="1"/>
    <col min="1796" max="1796" width="21.1796875" style="449" customWidth="1"/>
    <col min="1797" max="1797" width="10.453125" style="449" customWidth="1"/>
    <col min="1798" max="1798" width="17.453125" style="449" customWidth="1"/>
    <col min="1799" max="1799" width="11.1796875" style="449" customWidth="1"/>
    <col min="1800" max="1800" width="17.453125" style="449" customWidth="1"/>
    <col min="1801" max="1801" width="9.453125" style="449" customWidth="1"/>
    <col min="1802" max="1802" width="17.453125" style="449" customWidth="1"/>
    <col min="1803" max="1803" width="10.453125" style="449" customWidth="1"/>
    <col min="1804" max="1804" width="19.453125" style="449" customWidth="1"/>
    <col min="1805" max="1805" width="17.453125" style="449" customWidth="1"/>
    <col min="1806" max="1806" width="43.81640625" style="449" customWidth="1"/>
    <col min="1807" max="1807" width="10.453125" style="449" customWidth="1"/>
    <col min="1808" max="1808" width="13.453125" style="449" customWidth="1"/>
    <col min="1809" max="1810" width="21.453125" style="449" customWidth="1"/>
    <col min="1811" max="1812" width="22" style="449" customWidth="1"/>
    <col min="1813" max="1813" width="22.453125" style="449" bestFit="1" customWidth="1"/>
    <col min="1814" max="1814" width="22.453125" style="449" customWidth="1"/>
    <col min="1815" max="1815" width="22.81640625" style="449" bestFit="1" customWidth="1"/>
    <col min="1816" max="1816" width="22.81640625" style="449" customWidth="1"/>
    <col min="1817" max="1817" width="19.453125" style="449" customWidth="1"/>
    <col min="1818" max="1818" width="8.81640625" style="449"/>
    <col min="1819" max="1819" width="17.453125" style="449" bestFit="1" customWidth="1"/>
    <col min="1820" max="1820" width="16" style="449" customWidth="1"/>
    <col min="1821" max="1822" width="17.453125" style="449" customWidth="1"/>
    <col min="1823" max="1823" width="16.453125" style="449" customWidth="1"/>
    <col min="1824" max="1824" width="8.81640625" style="449"/>
    <col min="1825" max="1825" width="22.453125" style="449" bestFit="1" customWidth="1"/>
    <col min="1826" max="1826" width="22.1796875" style="449" bestFit="1" customWidth="1"/>
    <col min="1827" max="1828" width="17.453125" style="449" customWidth="1"/>
    <col min="1829" max="1829" width="18.1796875" style="449" customWidth="1"/>
    <col min="1830" max="2007" width="8.81640625" style="449"/>
    <col min="2008" max="2008" width="1.453125" style="449" customWidth="1"/>
    <col min="2009" max="2009" width="51.453125" style="449" customWidth="1"/>
    <col min="2010" max="2010" width="12.453125" style="449" customWidth="1"/>
    <col min="2011" max="2011" width="21.453125" style="449" bestFit="1" customWidth="1"/>
    <col min="2012" max="2012" width="12.453125" style="449" customWidth="1"/>
    <col min="2013" max="2013" width="14.453125" style="449" customWidth="1"/>
    <col min="2014" max="2014" width="15.1796875" style="449" customWidth="1"/>
    <col min="2015" max="2015" width="12.453125" style="449" bestFit="1" customWidth="1"/>
    <col min="2016" max="2016" width="13" style="449" customWidth="1"/>
    <col min="2017" max="2017" width="14.54296875" style="449" customWidth="1"/>
    <col min="2018" max="2018" width="44.453125" style="449" customWidth="1"/>
    <col min="2019" max="2019" width="34.54296875" style="449" customWidth="1"/>
    <col min="2020" max="2020" width="37.453125" style="449" customWidth="1"/>
    <col min="2021" max="2021" width="19.81640625" style="449" customWidth="1"/>
    <col min="2022" max="2046" width="8.81640625" style="449"/>
    <col min="2047" max="2047" width="9.54296875" style="449" customWidth="1"/>
    <col min="2048" max="2048" width="50.54296875" style="449" customWidth="1"/>
    <col min="2049" max="2049" width="14.81640625" style="449" customWidth="1"/>
    <col min="2050" max="2050" width="15.54296875" style="449" customWidth="1"/>
    <col min="2051" max="2051" width="8.54296875" style="449" bestFit="1" customWidth="1"/>
    <col min="2052" max="2052" width="21.1796875" style="449" customWidth="1"/>
    <col min="2053" max="2053" width="10.453125" style="449" customWidth="1"/>
    <col min="2054" max="2054" width="17.453125" style="449" customWidth="1"/>
    <col min="2055" max="2055" width="11.1796875" style="449" customWidth="1"/>
    <col min="2056" max="2056" width="17.453125" style="449" customWidth="1"/>
    <col min="2057" max="2057" width="9.453125" style="449" customWidth="1"/>
    <col min="2058" max="2058" width="17.453125" style="449" customWidth="1"/>
    <col min="2059" max="2059" width="10.453125" style="449" customWidth="1"/>
    <col min="2060" max="2060" width="19.453125" style="449" customWidth="1"/>
    <col min="2061" max="2061" width="17.453125" style="449" customWidth="1"/>
    <col min="2062" max="2062" width="43.81640625" style="449" customWidth="1"/>
    <col min="2063" max="2063" width="10.453125" style="449" customWidth="1"/>
    <col min="2064" max="2064" width="13.453125" style="449" customWidth="1"/>
    <col min="2065" max="2066" width="21.453125" style="449" customWidth="1"/>
    <col min="2067" max="2068" width="22" style="449" customWidth="1"/>
    <col min="2069" max="2069" width="22.453125" style="449" bestFit="1" customWidth="1"/>
    <col min="2070" max="2070" width="22.453125" style="449" customWidth="1"/>
    <col min="2071" max="2071" width="22.81640625" style="449" bestFit="1" customWidth="1"/>
    <col min="2072" max="2072" width="22.81640625" style="449" customWidth="1"/>
    <col min="2073" max="2073" width="19.453125" style="449" customWidth="1"/>
    <col min="2074" max="2074" width="8.81640625" style="449"/>
    <col min="2075" max="2075" width="17.453125" style="449" bestFit="1" customWidth="1"/>
    <col min="2076" max="2076" width="16" style="449" customWidth="1"/>
    <col min="2077" max="2078" width="17.453125" style="449" customWidth="1"/>
    <col min="2079" max="2079" width="16.453125" style="449" customWidth="1"/>
    <col min="2080" max="2080" width="8.81640625" style="449"/>
    <col min="2081" max="2081" width="22.453125" style="449" bestFit="1" customWidth="1"/>
    <col min="2082" max="2082" width="22.1796875" style="449" bestFit="1" customWidth="1"/>
    <col min="2083" max="2084" width="17.453125" style="449" customWidth="1"/>
    <col min="2085" max="2085" width="18.1796875" style="449" customWidth="1"/>
    <col min="2086" max="2263" width="8.81640625" style="449"/>
    <col min="2264" max="2264" width="1.453125" style="449" customWidth="1"/>
    <col min="2265" max="2265" width="51.453125" style="449" customWidth="1"/>
    <col min="2266" max="2266" width="12.453125" style="449" customWidth="1"/>
    <col min="2267" max="2267" width="21.453125" style="449" bestFit="1" customWidth="1"/>
    <col min="2268" max="2268" width="12.453125" style="449" customWidth="1"/>
    <col min="2269" max="2269" width="14.453125" style="449" customWidth="1"/>
    <col min="2270" max="2270" width="15.1796875" style="449" customWidth="1"/>
    <col min="2271" max="2271" width="12.453125" style="449" bestFit="1" customWidth="1"/>
    <col min="2272" max="2272" width="13" style="449" customWidth="1"/>
    <col min="2273" max="2273" width="14.54296875" style="449" customWidth="1"/>
    <col min="2274" max="2274" width="44.453125" style="449" customWidth="1"/>
    <col min="2275" max="2275" width="34.54296875" style="449" customWidth="1"/>
    <col min="2276" max="2276" width="37.453125" style="449" customWidth="1"/>
    <col min="2277" max="2277" width="19.81640625" style="449" customWidth="1"/>
    <col min="2278" max="2302" width="8.81640625" style="449"/>
    <col min="2303" max="2303" width="9.54296875" style="449" customWidth="1"/>
    <col min="2304" max="2304" width="50.54296875" style="449" customWidth="1"/>
    <col min="2305" max="2305" width="14.81640625" style="449" customWidth="1"/>
    <col min="2306" max="2306" width="15.54296875" style="449" customWidth="1"/>
    <col min="2307" max="2307" width="8.54296875" style="449" bestFit="1" customWidth="1"/>
    <col min="2308" max="2308" width="21.1796875" style="449" customWidth="1"/>
    <col min="2309" max="2309" width="10.453125" style="449" customWidth="1"/>
    <col min="2310" max="2310" width="17.453125" style="449" customWidth="1"/>
    <col min="2311" max="2311" width="11.1796875" style="449" customWidth="1"/>
    <col min="2312" max="2312" width="17.453125" style="449" customWidth="1"/>
    <col min="2313" max="2313" width="9.453125" style="449" customWidth="1"/>
    <col min="2314" max="2314" width="17.453125" style="449" customWidth="1"/>
    <col min="2315" max="2315" width="10.453125" style="449" customWidth="1"/>
    <col min="2316" max="2316" width="19.453125" style="449" customWidth="1"/>
    <col min="2317" max="2317" width="17.453125" style="449" customWidth="1"/>
    <col min="2318" max="2318" width="43.81640625" style="449" customWidth="1"/>
    <col min="2319" max="2319" width="10.453125" style="449" customWidth="1"/>
    <col min="2320" max="2320" width="13.453125" style="449" customWidth="1"/>
    <col min="2321" max="2322" width="21.453125" style="449" customWidth="1"/>
    <col min="2323" max="2324" width="22" style="449" customWidth="1"/>
    <col min="2325" max="2325" width="22.453125" style="449" bestFit="1" customWidth="1"/>
    <col min="2326" max="2326" width="22.453125" style="449" customWidth="1"/>
    <col min="2327" max="2327" width="22.81640625" style="449" bestFit="1" customWidth="1"/>
    <col min="2328" max="2328" width="22.81640625" style="449" customWidth="1"/>
    <col min="2329" max="2329" width="19.453125" style="449" customWidth="1"/>
    <col min="2330" max="2330" width="8.81640625" style="449"/>
    <col min="2331" max="2331" width="17.453125" style="449" bestFit="1" customWidth="1"/>
    <col min="2332" max="2332" width="16" style="449" customWidth="1"/>
    <col min="2333" max="2334" width="17.453125" style="449" customWidth="1"/>
    <col min="2335" max="2335" width="16.453125" style="449" customWidth="1"/>
    <col min="2336" max="2336" width="8.81640625" style="449"/>
    <col min="2337" max="2337" width="22.453125" style="449" bestFit="1" customWidth="1"/>
    <col min="2338" max="2338" width="22.1796875" style="449" bestFit="1" customWidth="1"/>
    <col min="2339" max="2340" width="17.453125" style="449" customWidth="1"/>
    <col min="2341" max="2341" width="18.1796875" style="449" customWidth="1"/>
    <col min="2342" max="2519" width="8.81640625" style="449"/>
    <col min="2520" max="2520" width="1.453125" style="449" customWidth="1"/>
    <col min="2521" max="2521" width="51.453125" style="449" customWidth="1"/>
    <col min="2522" max="2522" width="12.453125" style="449" customWidth="1"/>
    <col min="2523" max="2523" width="21.453125" style="449" bestFit="1" customWidth="1"/>
    <col min="2524" max="2524" width="12.453125" style="449" customWidth="1"/>
    <col min="2525" max="2525" width="14.453125" style="449" customWidth="1"/>
    <col min="2526" max="2526" width="15.1796875" style="449" customWidth="1"/>
    <col min="2527" max="2527" width="12.453125" style="449" bestFit="1" customWidth="1"/>
    <col min="2528" max="2528" width="13" style="449" customWidth="1"/>
    <col min="2529" max="2529" width="14.54296875" style="449" customWidth="1"/>
    <col min="2530" max="2530" width="44.453125" style="449" customWidth="1"/>
    <col min="2531" max="2531" width="34.54296875" style="449" customWidth="1"/>
    <col min="2532" max="2532" width="37.453125" style="449" customWidth="1"/>
    <col min="2533" max="2533" width="19.81640625" style="449" customWidth="1"/>
    <col min="2534" max="2558" width="8.81640625" style="449"/>
    <col min="2559" max="2559" width="9.54296875" style="449" customWidth="1"/>
    <col min="2560" max="2560" width="50.54296875" style="449" customWidth="1"/>
    <col min="2561" max="2561" width="14.81640625" style="449" customWidth="1"/>
    <col min="2562" max="2562" width="15.54296875" style="449" customWidth="1"/>
    <col min="2563" max="2563" width="8.54296875" style="449" bestFit="1" customWidth="1"/>
    <col min="2564" max="2564" width="21.1796875" style="449" customWidth="1"/>
    <col min="2565" max="2565" width="10.453125" style="449" customWidth="1"/>
    <col min="2566" max="2566" width="17.453125" style="449" customWidth="1"/>
    <col min="2567" max="2567" width="11.1796875" style="449" customWidth="1"/>
    <col min="2568" max="2568" width="17.453125" style="449" customWidth="1"/>
    <col min="2569" max="2569" width="9.453125" style="449" customWidth="1"/>
    <col min="2570" max="2570" width="17.453125" style="449" customWidth="1"/>
    <col min="2571" max="2571" width="10.453125" style="449" customWidth="1"/>
    <col min="2572" max="2572" width="19.453125" style="449" customWidth="1"/>
    <col min="2573" max="2573" width="17.453125" style="449" customWidth="1"/>
    <col min="2574" max="2574" width="43.81640625" style="449" customWidth="1"/>
    <col min="2575" max="2575" width="10.453125" style="449" customWidth="1"/>
    <col min="2576" max="2576" width="13.453125" style="449" customWidth="1"/>
    <col min="2577" max="2578" width="21.453125" style="449" customWidth="1"/>
    <col min="2579" max="2580" width="22" style="449" customWidth="1"/>
    <col min="2581" max="2581" width="22.453125" style="449" bestFit="1" customWidth="1"/>
    <col min="2582" max="2582" width="22.453125" style="449" customWidth="1"/>
    <col min="2583" max="2583" width="22.81640625" style="449" bestFit="1" customWidth="1"/>
    <col min="2584" max="2584" width="22.81640625" style="449" customWidth="1"/>
    <col min="2585" max="2585" width="19.453125" style="449" customWidth="1"/>
    <col min="2586" max="2586" width="8.81640625" style="449"/>
    <col min="2587" max="2587" width="17.453125" style="449" bestFit="1" customWidth="1"/>
    <col min="2588" max="2588" width="16" style="449" customWidth="1"/>
    <col min="2589" max="2590" width="17.453125" style="449" customWidth="1"/>
    <col min="2591" max="2591" width="16.453125" style="449" customWidth="1"/>
    <col min="2592" max="2592" width="8.81640625" style="449"/>
    <col min="2593" max="2593" width="22.453125" style="449" bestFit="1" customWidth="1"/>
    <col min="2594" max="2594" width="22.1796875" style="449" bestFit="1" customWidth="1"/>
    <col min="2595" max="2596" width="17.453125" style="449" customWidth="1"/>
    <col min="2597" max="2597" width="18.1796875" style="449" customWidth="1"/>
    <col min="2598" max="2775" width="8.81640625" style="449"/>
    <col min="2776" max="2776" width="1.453125" style="449" customWidth="1"/>
    <col min="2777" max="2777" width="51.453125" style="449" customWidth="1"/>
    <col min="2778" max="2778" width="12.453125" style="449" customWidth="1"/>
    <col min="2779" max="2779" width="21.453125" style="449" bestFit="1" customWidth="1"/>
    <col min="2780" max="2780" width="12.453125" style="449" customWidth="1"/>
    <col min="2781" max="2781" width="14.453125" style="449" customWidth="1"/>
    <col min="2782" max="2782" width="15.1796875" style="449" customWidth="1"/>
    <col min="2783" max="2783" width="12.453125" style="449" bestFit="1" customWidth="1"/>
    <col min="2784" max="2784" width="13" style="449" customWidth="1"/>
    <col min="2785" max="2785" width="14.54296875" style="449" customWidth="1"/>
    <col min="2786" max="2786" width="44.453125" style="449" customWidth="1"/>
    <col min="2787" max="2787" width="34.54296875" style="449" customWidth="1"/>
    <col min="2788" max="2788" width="37.453125" style="449" customWidth="1"/>
    <col min="2789" max="2789" width="19.81640625" style="449" customWidth="1"/>
    <col min="2790" max="2814" width="8.81640625" style="449"/>
    <col min="2815" max="2815" width="9.54296875" style="449" customWidth="1"/>
    <col min="2816" max="2816" width="50.54296875" style="449" customWidth="1"/>
    <col min="2817" max="2817" width="14.81640625" style="449" customWidth="1"/>
    <col min="2818" max="2818" width="15.54296875" style="449" customWidth="1"/>
    <col min="2819" max="2819" width="8.54296875" style="449" bestFit="1" customWidth="1"/>
    <col min="2820" max="2820" width="21.1796875" style="449" customWidth="1"/>
    <col min="2821" max="2821" width="10.453125" style="449" customWidth="1"/>
    <col min="2822" max="2822" width="17.453125" style="449" customWidth="1"/>
    <col min="2823" max="2823" width="11.1796875" style="449" customWidth="1"/>
    <col min="2824" max="2824" width="17.453125" style="449" customWidth="1"/>
    <col min="2825" max="2825" width="9.453125" style="449" customWidth="1"/>
    <col min="2826" max="2826" width="17.453125" style="449" customWidth="1"/>
    <col min="2827" max="2827" width="10.453125" style="449" customWidth="1"/>
    <col min="2828" max="2828" width="19.453125" style="449" customWidth="1"/>
    <col min="2829" max="2829" width="17.453125" style="449" customWidth="1"/>
    <col min="2830" max="2830" width="43.81640625" style="449" customWidth="1"/>
    <col min="2831" max="2831" width="10.453125" style="449" customWidth="1"/>
    <col min="2832" max="2832" width="13.453125" style="449" customWidth="1"/>
    <col min="2833" max="2834" width="21.453125" style="449" customWidth="1"/>
    <col min="2835" max="2836" width="22" style="449" customWidth="1"/>
    <col min="2837" max="2837" width="22.453125" style="449" bestFit="1" customWidth="1"/>
    <col min="2838" max="2838" width="22.453125" style="449" customWidth="1"/>
    <col min="2839" max="2839" width="22.81640625" style="449" bestFit="1" customWidth="1"/>
    <col min="2840" max="2840" width="22.81640625" style="449" customWidth="1"/>
    <col min="2841" max="2841" width="19.453125" style="449" customWidth="1"/>
    <col min="2842" max="2842" width="8.81640625" style="449"/>
    <col min="2843" max="2843" width="17.453125" style="449" bestFit="1" customWidth="1"/>
    <col min="2844" max="2844" width="16" style="449" customWidth="1"/>
    <col min="2845" max="2846" width="17.453125" style="449" customWidth="1"/>
    <col min="2847" max="2847" width="16.453125" style="449" customWidth="1"/>
    <col min="2848" max="2848" width="8.81640625" style="449"/>
    <col min="2849" max="2849" width="22.453125" style="449" bestFit="1" customWidth="1"/>
    <col min="2850" max="2850" width="22.1796875" style="449" bestFit="1" customWidth="1"/>
    <col min="2851" max="2852" width="17.453125" style="449" customWidth="1"/>
    <col min="2853" max="2853" width="18.1796875" style="449" customWidth="1"/>
    <col min="2854" max="3031" width="8.81640625" style="449"/>
    <col min="3032" max="3032" width="1.453125" style="449" customWidth="1"/>
    <col min="3033" max="3033" width="51.453125" style="449" customWidth="1"/>
    <col min="3034" max="3034" width="12.453125" style="449" customWidth="1"/>
    <col min="3035" max="3035" width="21.453125" style="449" bestFit="1" customWidth="1"/>
    <col min="3036" max="3036" width="12.453125" style="449" customWidth="1"/>
    <col min="3037" max="3037" width="14.453125" style="449" customWidth="1"/>
    <col min="3038" max="3038" width="15.1796875" style="449" customWidth="1"/>
    <col min="3039" max="3039" width="12.453125" style="449" bestFit="1" customWidth="1"/>
    <col min="3040" max="3040" width="13" style="449" customWidth="1"/>
    <col min="3041" max="3041" width="14.54296875" style="449" customWidth="1"/>
    <col min="3042" max="3042" width="44.453125" style="449" customWidth="1"/>
    <col min="3043" max="3043" width="34.54296875" style="449" customWidth="1"/>
    <col min="3044" max="3044" width="37.453125" style="449" customWidth="1"/>
    <col min="3045" max="3045" width="19.81640625" style="449" customWidth="1"/>
    <col min="3046" max="3070" width="8.81640625" style="449"/>
    <col min="3071" max="3071" width="9.54296875" style="449" customWidth="1"/>
    <col min="3072" max="3072" width="50.54296875" style="449" customWidth="1"/>
    <col min="3073" max="3073" width="14.81640625" style="449" customWidth="1"/>
    <col min="3074" max="3074" width="15.54296875" style="449" customWidth="1"/>
    <col min="3075" max="3075" width="8.54296875" style="449" bestFit="1" customWidth="1"/>
    <col min="3076" max="3076" width="21.1796875" style="449" customWidth="1"/>
    <col min="3077" max="3077" width="10.453125" style="449" customWidth="1"/>
    <col min="3078" max="3078" width="17.453125" style="449" customWidth="1"/>
    <col min="3079" max="3079" width="11.1796875" style="449" customWidth="1"/>
    <col min="3080" max="3080" width="17.453125" style="449" customWidth="1"/>
    <col min="3081" max="3081" width="9.453125" style="449" customWidth="1"/>
    <col min="3082" max="3082" width="17.453125" style="449" customWidth="1"/>
    <col min="3083" max="3083" width="10.453125" style="449" customWidth="1"/>
    <col min="3084" max="3084" width="19.453125" style="449" customWidth="1"/>
    <col min="3085" max="3085" width="17.453125" style="449" customWidth="1"/>
    <col min="3086" max="3086" width="43.81640625" style="449" customWidth="1"/>
    <col min="3087" max="3087" width="10.453125" style="449" customWidth="1"/>
    <col min="3088" max="3088" width="13.453125" style="449" customWidth="1"/>
    <col min="3089" max="3090" width="21.453125" style="449" customWidth="1"/>
    <col min="3091" max="3092" width="22" style="449" customWidth="1"/>
    <col min="3093" max="3093" width="22.453125" style="449" bestFit="1" customWidth="1"/>
    <col min="3094" max="3094" width="22.453125" style="449" customWidth="1"/>
    <col min="3095" max="3095" width="22.81640625" style="449" bestFit="1" customWidth="1"/>
    <col min="3096" max="3096" width="22.81640625" style="449" customWidth="1"/>
    <col min="3097" max="3097" width="19.453125" style="449" customWidth="1"/>
    <col min="3098" max="3098" width="8.81640625" style="449"/>
    <col min="3099" max="3099" width="17.453125" style="449" bestFit="1" customWidth="1"/>
    <col min="3100" max="3100" width="16" style="449" customWidth="1"/>
    <col min="3101" max="3102" width="17.453125" style="449" customWidth="1"/>
    <col min="3103" max="3103" width="16.453125" style="449" customWidth="1"/>
    <col min="3104" max="3104" width="8.81640625" style="449"/>
    <col min="3105" max="3105" width="22.453125" style="449" bestFit="1" customWidth="1"/>
    <col min="3106" max="3106" width="22.1796875" style="449" bestFit="1" customWidth="1"/>
    <col min="3107" max="3108" width="17.453125" style="449" customWidth="1"/>
    <col min="3109" max="3109" width="18.1796875" style="449" customWidth="1"/>
    <col min="3110" max="3287" width="8.81640625" style="449"/>
    <col min="3288" max="3288" width="1.453125" style="449" customWidth="1"/>
    <col min="3289" max="3289" width="51.453125" style="449" customWidth="1"/>
    <col min="3290" max="3290" width="12.453125" style="449" customWidth="1"/>
    <col min="3291" max="3291" width="21.453125" style="449" bestFit="1" customWidth="1"/>
    <col min="3292" max="3292" width="12.453125" style="449" customWidth="1"/>
    <col min="3293" max="3293" width="14.453125" style="449" customWidth="1"/>
    <col min="3294" max="3294" width="15.1796875" style="449" customWidth="1"/>
    <col min="3295" max="3295" width="12.453125" style="449" bestFit="1" customWidth="1"/>
    <col min="3296" max="3296" width="13" style="449" customWidth="1"/>
    <col min="3297" max="3297" width="14.54296875" style="449" customWidth="1"/>
    <col min="3298" max="3298" width="44.453125" style="449" customWidth="1"/>
    <col min="3299" max="3299" width="34.54296875" style="449" customWidth="1"/>
    <col min="3300" max="3300" width="37.453125" style="449" customWidth="1"/>
    <col min="3301" max="3301" width="19.81640625" style="449" customWidth="1"/>
    <col min="3302" max="3326" width="8.81640625" style="449"/>
    <col min="3327" max="3327" width="9.54296875" style="449" customWidth="1"/>
    <col min="3328" max="3328" width="50.54296875" style="449" customWidth="1"/>
    <col min="3329" max="3329" width="14.81640625" style="449" customWidth="1"/>
    <col min="3330" max="3330" width="15.54296875" style="449" customWidth="1"/>
    <col min="3331" max="3331" width="8.54296875" style="449" bestFit="1" customWidth="1"/>
    <col min="3332" max="3332" width="21.1796875" style="449" customWidth="1"/>
    <col min="3333" max="3333" width="10.453125" style="449" customWidth="1"/>
    <col min="3334" max="3334" width="17.453125" style="449" customWidth="1"/>
    <col min="3335" max="3335" width="11.1796875" style="449" customWidth="1"/>
    <col min="3336" max="3336" width="17.453125" style="449" customWidth="1"/>
    <col min="3337" max="3337" width="9.453125" style="449" customWidth="1"/>
    <col min="3338" max="3338" width="17.453125" style="449" customWidth="1"/>
    <col min="3339" max="3339" width="10.453125" style="449" customWidth="1"/>
    <col min="3340" max="3340" width="19.453125" style="449" customWidth="1"/>
    <col min="3341" max="3341" width="17.453125" style="449" customWidth="1"/>
    <col min="3342" max="3342" width="43.81640625" style="449" customWidth="1"/>
    <col min="3343" max="3343" width="10.453125" style="449" customWidth="1"/>
    <col min="3344" max="3344" width="13.453125" style="449" customWidth="1"/>
    <col min="3345" max="3346" width="21.453125" style="449" customWidth="1"/>
    <col min="3347" max="3348" width="22" style="449" customWidth="1"/>
    <col min="3349" max="3349" width="22.453125" style="449" bestFit="1" customWidth="1"/>
    <col min="3350" max="3350" width="22.453125" style="449" customWidth="1"/>
    <col min="3351" max="3351" width="22.81640625" style="449" bestFit="1" customWidth="1"/>
    <col min="3352" max="3352" width="22.81640625" style="449" customWidth="1"/>
    <col min="3353" max="3353" width="19.453125" style="449" customWidth="1"/>
    <col min="3354" max="3354" width="8.81640625" style="449"/>
    <col min="3355" max="3355" width="17.453125" style="449" bestFit="1" customWidth="1"/>
    <col min="3356" max="3356" width="16" style="449" customWidth="1"/>
    <col min="3357" max="3358" width="17.453125" style="449" customWidth="1"/>
    <col min="3359" max="3359" width="16.453125" style="449" customWidth="1"/>
    <col min="3360" max="3360" width="8.81640625" style="449"/>
    <col min="3361" max="3361" width="22.453125" style="449" bestFit="1" customWidth="1"/>
    <col min="3362" max="3362" width="22.1796875" style="449" bestFit="1" customWidth="1"/>
    <col min="3363" max="3364" width="17.453125" style="449" customWidth="1"/>
    <col min="3365" max="3365" width="18.1796875" style="449" customWidth="1"/>
    <col min="3366" max="3543" width="8.81640625" style="449"/>
    <col min="3544" max="3544" width="1.453125" style="449" customWidth="1"/>
    <col min="3545" max="3545" width="51.453125" style="449" customWidth="1"/>
    <col min="3546" max="3546" width="12.453125" style="449" customWidth="1"/>
    <col min="3547" max="3547" width="21.453125" style="449" bestFit="1" customWidth="1"/>
    <col min="3548" max="3548" width="12.453125" style="449" customWidth="1"/>
    <col min="3549" max="3549" width="14.453125" style="449" customWidth="1"/>
    <col min="3550" max="3550" width="15.1796875" style="449" customWidth="1"/>
    <col min="3551" max="3551" width="12.453125" style="449" bestFit="1" customWidth="1"/>
    <col min="3552" max="3552" width="13" style="449" customWidth="1"/>
    <col min="3553" max="3553" width="14.54296875" style="449" customWidth="1"/>
    <col min="3554" max="3554" width="44.453125" style="449" customWidth="1"/>
    <col min="3555" max="3555" width="34.54296875" style="449" customWidth="1"/>
    <col min="3556" max="3556" width="37.453125" style="449" customWidth="1"/>
    <col min="3557" max="3557" width="19.81640625" style="449" customWidth="1"/>
    <col min="3558" max="3582" width="8.81640625" style="449"/>
    <col min="3583" max="3583" width="9.54296875" style="449" customWidth="1"/>
    <col min="3584" max="3584" width="50.54296875" style="449" customWidth="1"/>
    <col min="3585" max="3585" width="14.81640625" style="449" customWidth="1"/>
    <col min="3586" max="3586" width="15.54296875" style="449" customWidth="1"/>
    <col min="3587" max="3587" width="8.54296875" style="449" bestFit="1" customWidth="1"/>
    <col min="3588" max="3588" width="21.1796875" style="449" customWidth="1"/>
    <col min="3589" max="3589" width="10.453125" style="449" customWidth="1"/>
    <col min="3590" max="3590" width="17.453125" style="449" customWidth="1"/>
    <col min="3591" max="3591" width="11.1796875" style="449" customWidth="1"/>
    <col min="3592" max="3592" width="17.453125" style="449" customWidth="1"/>
    <col min="3593" max="3593" width="9.453125" style="449" customWidth="1"/>
    <col min="3594" max="3594" width="17.453125" style="449" customWidth="1"/>
    <col min="3595" max="3595" width="10.453125" style="449" customWidth="1"/>
    <col min="3596" max="3596" width="19.453125" style="449" customWidth="1"/>
    <col min="3597" max="3597" width="17.453125" style="449" customWidth="1"/>
    <col min="3598" max="3598" width="43.81640625" style="449" customWidth="1"/>
    <col min="3599" max="3599" width="10.453125" style="449" customWidth="1"/>
    <col min="3600" max="3600" width="13.453125" style="449" customWidth="1"/>
    <col min="3601" max="3602" width="21.453125" style="449" customWidth="1"/>
    <col min="3603" max="3604" width="22" style="449" customWidth="1"/>
    <col min="3605" max="3605" width="22.453125" style="449" bestFit="1" customWidth="1"/>
    <col min="3606" max="3606" width="22.453125" style="449" customWidth="1"/>
    <col min="3607" max="3607" width="22.81640625" style="449" bestFit="1" customWidth="1"/>
    <col min="3608" max="3608" width="22.81640625" style="449" customWidth="1"/>
    <col min="3609" max="3609" width="19.453125" style="449" customWidth="1"/>
    <col min="3610" max="3610" width="8.81640625" style="449"/>
    <col min="3611" max="3611" width="17.453125" style="449" bestFit="1" customWidth="1"/>
    <col min="3612" max="3612" width="16" style="449" customWidth="1"/>
    <col min="3613" max="3614" width="17.453125" style="449" customWidth="1"/>
    <col min="3615" max="3615" width="16.453125" style="449" customWidth="1"/>
    <col min="3616" max="3616" width="8.81640625" style="449"/>
    <col min="3617" max="3617" width="22.453125" style="449" bestFit="1" customWidth="1"/>
    <col min="3618" max="3618" width="22.1796875" style="449" bestFit="1" customWidth="1"/>
    <col min="3619" max="3620" width="17.453125" style="449" customWidth="1"/>
    <col min="3621" max="3621" width="18.1796875" style="449" customWidth="1"/>
    <col min="3622" max="3799" width="8.81640625" style="449"/>
    <col min="3800" max="3800" width="1.453125" style="449" customWidth="1"/>
    <col min="3801" max="3801" width="51.453125" style="449" customWidth="1"/>
    <col min="3802" max="3802" width="12.453125" style="449" customWidth="1"/>
    <col min="3803" max="3803" width="21.453125" style="449" bestFit="1" customWidth="1"/>
    <col min="3804" max="3804" width="12.453125" style="449" customWidth="1"/>
    <col min="3805" max="3805" width="14.453125" style="449" customWidth="1"/>
    <col min="3806" max="3806" width="15.1796875" style="449" customWidth="1"/>
    <col min="3807" max="3807" width="12.453125" style="449" bestFit="1" customWidth="1"/>
    <col min="3808" max="3808" width="13" style="449" customWidth="1"/>
    <col min="3809" max="3809" width="14.54296875" style="449" customWidth="1"/>
    <col min="3810" max="3810" width="44.453125" style="449" customWidth="1"/>
    <col min="3811" max="3811" width="34.54296875" style="449" customWidth="1"/>
    <col min="3812" max="3812" width="37.453125" style="449" customWidth="1"/>
    <col min="3813" max="3813" width="19.81640625" style="449" customWidth="1"/>
    <col min="3814" max="3838" width="8.81640625" style="449"/>
    <col min="3839" max="3839" width="9.54296875" style="449" customWidth="1"/>
    <col min="3840" max="3840" width="50.54296875" style="449" customWidth="1"/>
    <col min="3841" max="3841" width="14.81640625" style="449" customWidth="1"/>
    <col min="3842" max="3842" width="15.54296875" style="449" customWidth="1"/>
    <col min="3843" max="3843" width="8.54296875" style="449" bestFit="1" customWidth="1"/>
    <col min="3844" max="3844" width="21.1796875" style="449" customWidth="1"/>
    <col min="3845" max="3845" width="10.453125" style="449" customWidth="1"/>
    <col min="3846" max="3846" width="17.453125" style="449" customWidth="1"/>
    <col min="3847" max="3847" width="11.1796875" style="449" customWidth="1"/>
    <col min="3848" max="3848" width="17.453125" style="449" customWidth="1"/>
    <col min="3849" max="3849" width="9.453125" style="449" customWidth="1"/>
    <col min="3850" max="3850" width="17.453125" style="449" customWidth="1"/>
    <col min="3851" max="3851" width="10.453125" style="449" customWidth="1"/>
    <col min="3852" max="3852" width="19.453125" style="449" customWidth="1"/>
    <col min="3853" max="3853" width="17.453125" style="449" customWidth="1"/>
    <col min="3854" max="3854" width="43.81640625" style="449" customWidth="1"/>
    <col min="3855" max="3855" width="10.453125" style="449" customWidth="1"/>
    <col min="3856" max="3856" width="13.453125" style="449" customWidth="1"/>
    <col min="3857" max="3858" width="21.453125" style="449" customWidth="1"/>
    <col min="3859" max="3860" width="22" style="449" customWidth="1"/>
    <col min="3861" max="3861" width="22.453125" style="449" bestFit="1" customWidth="1"/>
    <col min="3862" max="3862" width="22.453125" style="449" customWidth="1"/>
    <col min="3863" max="3863" width="22.81640625" style="449" bestFit="1" customWidth="1"/>
    <col min="3864" max="3864" width="22.81640625" style="449" customWidth="1"/>
    <col min="3865" max="3865" width="19.453125" style="449" customWidth="1"/>
    <col min="3866" max="3866" width="8.81640625" style="449"/>
    <col min="3867" max="3867" width="17.453125" style="449" bestFit="1" customWidth="1"/>
    <col min="3868" max="3868" width="16" style="449" customWidth="1"/>
    <col min="3869" max="3870" width="17.453125" style="449" customWidth="1"/>
    <col min="3871" max="3871" width="16.453125" style="449" customWidth="1"/>
    <col min="3872" max="3872" width="8.81640625" style="449"/>
    <col min="3873" max="3873" width="22.453125" style="449" bestFit="1" customWidth="1"/>
    <col min="3874" max="3874" width="22.1796875" style="449" bestFit="1" customWidth="1"/>
    <col min="3875" max="3876" width="17.453125" style="449" customWidth="1"/>
    <col min="3877" max="3877" width="18.1796875" style="449" customWidth="1"/>
    <col min="3878" max="4055" width="8.81640625" style="449"/>
    <col min="4056" max="4056" width="1.453125" style="449" customWidth="1"/>
    <col min="4057" max="4057" width="51.453125" style="449" customWidth="1"/>
    <col min="4058" max="4058" width="12.453125" style="449" customWidth="1"/>
    <col min="4059" max="4059" width="21.453125" style="449" bestFit="1" customWidth="1"/>
    <col min="4060" max="4060" width="12.453125" style="449" customWidth="1"/>
    <col min="4061" max="4061" width="14.453125" style="449" customWidth="1"/>
    <col min="4062" max="4062" width="15.1796875" style="449" customWidth="1"/>
    <col min="4063" max="4063" width="12.453125" style="449" bestFit="1" customWidth="1"/>
    <col min="4064" max="4064" width="13" style="449" customWidth="1"/>
    <col min="4065" max="4065" width="14.54296875" style="449" customWidth="1"/>
    <col min="4066" max="4066" width="44.453125" style="449" customWidth="1"/>
    <col min="4067" max="4067" width="34.54296875" style="449" customWidth="1"/>
    <col min="4068" max="4068" width="37.453125" style="449" customWidth="1"/>
    <col min="4069" max="4069" width="19.81640625" style="449" customWidth="1"/>
    <col min="4070" max="4094" width="8.81640625" style="449"/>
    <col min="4095" max="4095" width="9.54296875" style="449" customWidth="1"/>
    <col min="4096" max="4096" width="50.54296875" style="449" customWidth="1"/>
    <col min="4097" max="4097" width="14.81640625" style="449" customWidth="1"/>
    <col min="4098" max="4098" width="15.54296875" style="449" customWidth="1"/>
    <col min="4099" max="4099" width="8.54296875" style="449" bestFit="1" customWidth="1"/>
    <col min="4100" max="4100" width="21.1796875" style="449" customWidth="1"/>
    <col min="4101" max="4101" width="10.453125" style="449" customWidth="1"/>
    <col min="4102" max="4102" width="17.453125" style="449" customWidth="1"/>
    <col min="4103" max="4103" width="11.1796875" style="449" customWidth="1"/>
    <col min="4104" max="4104" width="17.453125" style="449" customWidth="1"/>
    <col min="4105" max="4105" width="9.453125" style="449" customWidth="1"/>
    <col min="4106" max="4106" width="17.453125" style="449" customWidth="1"/>
    <col min="4107" max="4107" width="10.453125" style="449" customWidth="1"/>
    <col min="4108" max="4108" width="19.453125" style="449" customWidth="1"/>
    <col min="4109" max="4109" width="17.453125" style="449" customWidth="1"/>
    <col min="4110" max="4110" width="43.81640625" style="449" customWidth="1"/>
    <col min="4111" max="4111" width="10.453125" style="449" customWidth="1"/>
    <col min="4112" max="4112" width="13.453125" style="449" customWidth="1"/>
    <col min="4113" max="4114" width="21.453125" style="449" customWidth="1"/>
    <col min="4115" max="4116" width="22" style="449" customWidth="1"/>
    <col min="4117" max="4117" width="22.453125" style="449" bestFit="1" customWidth="1"/>
    <col min="4118" max="4118" width="22.453125" style="449" customWidth="1"/>
    <col min="4119" max="4119" width="22.81640625" style="449" bestFit="1" customWidth="1"/>
    <col min="4120" max="4120" width="22.81640625" style="449" customWidth="1"/>
    <col min="4121" max="4121" width="19.453125" style="449" customWidth="1"/>
    <col min="4122" max="4122" width="8.81640625" style="449"/>
    <col min="4123" max="4123" width="17.453125" style="449" bestFit="1" customWidth="1"/>
    <col min="4124" max="4124" width="16" style="449" customWidth="1"/>
    <col min="4125" max="4126" width="17.453125" style="449" customWidth="1"/>
    <col min="4127" max="4127" width="16.453125" style="449" customWidth="1"/>
    <col min="4128" max="4128" width="8.81640625" style="449"/>
    <col min="4129" max="4129" width="22.453125" style="449" bestFit="1" customWidth="1"/>
    <col min="4130" max="4130" width="22.1796875" style="449" bestFit="1" customWidth="1"/>
    <col min="4131" max="4132" width="17.453125" style="449" customWidth="1"/>
    <col min="4133" max="4133" width="18.1796875" style="449" customWidth="1"/>
    <col min="4134" max="4311" width="8.81640625" style="449"/>
    <col min="4312" max="4312" width="1.453125" style="449" customWidth="1"/>
    <col min="4313" max="4313" width="51.453125" style="449" customWidth="1"/>
    <col min="4314" max="4314" width="12.453125" style="449" customWidth="1"/>
    <col min="4315" max="4315" width="21.453125" style="449" bestFit="1" customWidth="1"/>
    <col min="4316" max="4316" width="12.453125" style="449" customWidth="1"/>
    <col min="4317" max="4317" width="14.453125" style="449" customWidth="1"/>
    <col min="4318" max="4318" width="15.1796875" style="449" customWidth="1"/>
    <col min="4319" max="4319" width="12.453125" style="449" bestFit="1" customWidth="1"/>
    <col min="4320" max="4320" width="13" style="449" customWidth="1"/>
    <col min="4321" max="4321" width="14.54296875" style="449" customWidth="1"/>
    <col min="4322" max="4322" width="44.453125" style="449" customWidth="1"/>
    <col min="4323" max="4323" width="34.54296875" style="449" customWidth="1"/>
    <col min="4324" max="4324" width="37.453125" style="449" customWidth="1"/>
    <col min="4325" max="4325" width="19.81640625" style="449" customWidth="1"/>
    <col min="4326" max="4350" width="8.81640625" style="449"/>
    <col min="4351" max="4351" width="9.54296875" style="449" customWidth="1"/>
    <col min="4352" max="4352" width="50.54296875" style="449" customWidth="1"/>
    <col min="4353" max="4353" width="14.81640625" style="449" customWidth="1"/>
    <col min="4354" max="4354" width="15.54296875" style="449" customWidth="1"/>
    <col min="4355" max="4355" width="8.54296875" style="449" bestFit="1" customWidth="1"/>
    <col min="4356" max="4356" width="21.1796875" style="449" customWidth="1"/>
    <col min="4357" max="4357" width="10.453125" style="449" customWidth="1"/>
    <col min="4358" max="4358" width="17.453125" style="449" customWidth="1"/>
    <col min="4359" max="4359" width="11.1796875" style="449" customWidth="1"/>
    <col min="4360" max="4360" width="17.453125" style="449" customWidth="1"/>
    <col min="4361" max="4361" width="9.453125" style="449" customWidth="1"/>
    <col min="4362" max="4362" width="17.453125" style="449" customWidth="1"/>
    <col min="4363" max="4363" width="10.453125" style="449" customWidth="1"/>
    <col min="4364" max="4364" width="19.453125" style="449" customWidth="1"/>
    <col min="4365" max="4365" width="17.453125" style="449" customWidth="1"/>
    <col min="4366" max="4366" width="43.81640625" style="449" customWidth="1"/>
    <col min="4367" max="4367" width="10.453125" style="449" customWidth="1"/>
    <col min="4368" max="4368" width="13.453125" style="449" customWidth="1"/>
    <col min="4369" max="4370" width="21.453125" style="449" customWidth="1"/>
    <col min="4371" max="4372" width="22" style="449" customWidth="1"/>
    <col min="4373" max="4373" width="22.453125" style="449" bestFit="1" customWidth="1"/>
    <col min="4374" max="4374" width="22.453125" style="449" customWidth="1"/>
    <col min="4375" max="4375" width="22.81640625" style="449" bestFit="1" customWidth="1"/>
    <col min="4376" max="4376" width="22.81640625" style="449" customWidth="1"/>
    <col min="4377" max="4377" width="19.453125" style="449" customWidth="1"/>
    <col min="4378" max="4378" width="8.81640625" style="449"/>
    <col min="4379" max="4379" width="17.453125" style="449" bestFit="1" customWidth="1"/>
    <col min="4380" max="4380" width="16" style="449" customWidth="1"/>
    <col min="4381" max="4382" width="17.453125" style="449" customWidth="1"/>
    <col min="4383" max="4383" width="16.453125" style="449" customWidth="1"/>
    <col min="4384" max="4384" width="8.81640625" style="449"/>
    <col min="4385" max="4385" width="22.453125" style="449" bestFit="1" customWidth="1"/>
    <col min="4386" max="4386" width="22.1796875" style="449" bestFit="1" customWidth="1"/>
    <col min="4387" max="4388" width="17.453125" style="449" customWidth="1"/>
    <col min="4389" max="4389" width="18.1796875" style="449" customWidth="1"/>
    <col min="4390" max="4567" width="8.81640625" style="449"/>
    <col min="4568" max="4568" width="1.453125" style="449" customWidth="1"/>
    <col min="4569" max="4569" width="51.453125" style="449" customWidth="1"/>
    <col min="4570" max="4570" width="12.453125" style="449" customWidth="1"/>
    <col min="4571" max="4571" width="21.453125" style="449" bestFit="1" customWidth="1"/>
    <col min="4572" max="4572" width="12.453125" style="449" customWidth="1"/>
    <col min="4573" max="4573" width="14.453125" style="449" customWidth="1"/>
    <col min="4574" max="4574" width="15.1796875" style="449" customWidth="1"/>
    <col min="4575" max="4575" width="12.453125" style="449" bestFit="1" customWidth="1"/>
    <col min="4576" max="4576" width="13" style="449" customWidth="1"/>
    <col min="4577" max="4577" width="14.54296875" style="449" customWidth="1"/>
    <col min="4578" max="4578" width="44.453125" style="449" customWidth="1"/>
    <col min="4579" max="4579" width="34.54296875" style="449" customWidth="1"/>
    <col min="4580" max="4580" width="37.453125" style="449" customWidth="1"/>
    <col min="4581" max="4581" width="19.81640625" style="449" customWidth="1"/>
    <col min="4582" max="4606" width="8.81640625" style="449"/>
    <col min="4607" max="4607" width="9.54296875" style="449" customWidth="1"/>
    <col min="4608" max="4608" width="50.54296875" style="449" customWidth="1"/>
    <col min="4609" max="4609" width="14.81640625" style="449" customWidth="1"/>
    <col min="4610" max="4610" width="15.54296875" style="449" customWidth="1"/>
    <col min="4611" max="4611" width="8.54296875" style="449" bestFit="1" customWidth="1"/>
    <col min="4612" max="4612" width="21.1796875" style="449" customWidth="1"/>
    <col min="4613" max="4613" width="10.453125" style="449" customWidth="1"/>
    <col min="4614" max="4614" width="17.453125" style="449" customWidth="1"/>
    <col min="4615" max="4615" width="11.1796875" style="449" customWidth="1"/>
    <col min="4616" max="4616" width="17.453125" style="449" customWidth="1"/>
    <col min="4617" max="4617" width="9.453125" style="449" customWidth="1"/>
    <col min="4618" max="4618" width="17.453125" style="449" customWidth="1"/>
    <col min="4619" max="4619" width="10.453125" style="449" customWidth="1"/>
    <col min="4620" max="4620" width="19.453125" style="449" customWidth="1"/>
    <col min="4621" max="4621" width="17.453125" style="449" customWidth="1"/>
    <col min="4622" max="4622" width="43.81640625" style="449" customWidth="1"/>
    <col min="4623" max="4623" width="10.453125" style="449" customWidth="1"/>
    <col min="4624" max="4624" width="13.453125" style="449" customWidth="1"/>
    <col min="4625" max="4626" width="21.453125" style="449" customWidth="1"/>
    <col min="4627" max="4628" width="22" style="449" customWidth="1"/>
    <col min="4629" max="4629" width="22.453125" style="449" bestFit="1" customWidth="1"/>
    <col min="4630" max="4630" width="22.453125" style="449" customWidth="1"/>
    <col min="4631" max="4631" width="22.81640625" style="449" bestFit="1" customWidth="1"/>
    <col min="4632" max="4632" width="22.81640625" style="449" customWidth="1"/>
    <col min="4633" max="4633" width="19.453125" style="449" customWidth="1"/>
    <col min="4634" max="4634" width="8.81640625" style="449"/>
    <col min="4635" max="4635" width="17.453125" style="449" bestFit="1" customWidth="1"/>
    <col min="4636" max="4636" width="16" style="449" customWidth="1"/>
    <col min="4637" max="4638" width="17.453125" style="449" customWidth="1"/>
    <col min="4639" max="4639" width="16.453125" style="449" customWidth="1"/>
    <col min="4640" max="4640" width="8.81640625" style="449"/>
    <col min="4641" max="4641" width="22.453125" style="449" bestFit="1" customWidth="1"/>
    <col min="4642" max="4642" width="22.1796875" style="449" bestFit="1" customWidth="1"/>
    <col min="4643" max="4644" width="17.453125" style="449" customWidth="1"/>
    <col min="4645" max="4645" width="18.1796875" style="449" customWidth="1"/>
    <col min="4646" max="4823" width="8.81640625" style="449"/>
    <col min="4824" max="4824" width="1.453125" style="449" customWidth="1"/>
    <col min="4825" max="4825" width="51.453125" style="449" customWidth="1"/>
    <col min="4826" max="4826" width="12.453125" style="449" customWidth="1"/>
    <col min="4827" max="4827" width="21.453125" style="449" bestFit="1" customWidth="1"/>
    <col min="4828" max="4828" width="12.453125" style="449" customWidth="1"/>
    <col min="4829" max="4829" width="14.453125" style="449" customWidth="1"/>
    <col min="4830" max="4830" width="15.1796875" style="449" customWidth="1"/>
    <col min="4831" max="4831" width="12.453125" style="449" bestFit="1" customWidth="1"/>
    <col min="4832" max="4832" width="13" style="449" customWidth="1"/>
    <col min="4833" max="4833" width="14.54296875" style="449" customWidth="1"/>
    <col min="4834" max="4834" width="44.453125" style="449" customWidth="1"/>
    <col min="4835" max="4835" width="34.54296875" style="449" customWidth="1"/>
    <col min="4836" max="4836" width="37.453125" style="449" customWidth="1"/>
    <col min="4837" max="4837" width="19.81640625" style="449" customWidth="1"/>
    <col min="4838" max="4862" width="8.81640625" style="449"/>
    <col min="4863" max="4863" width="9.54296875" style="449" customWidth="1"/>
    <col min="4864" max="4864" width="50.54296875" style="449" customWidth="1"/>
    <col min="4865" max="4865" width="14.81640625" style="449" customWidth="1"/>
    <col min="4866" max="4866" width="15.54296875" style="449" customWidth="1"/>
    <col min="4867" max="4867" width="8.54296875" style="449" bestFit="1" customWidth="1"/>
    <col min="4868" max="4868" width="21.1796875" style="449" customWidth="1"/>
    <col min="4869" max="4869" width="10.453125" style="449" customWidth="1"/>
    <col min="4870" max="4870" width="17.453125" style="449" customWidth="1"/>
    <col min="4871" max="4871" width="11.1796875" style="449" customWidth="1"/>
    <col min="4872" max="4872" width="17.453125" style="449" customWidth="1"/>
    <col min="4873" max="4873" width="9.453125" style="449" customWidth="1"/>
    <col min="4874" max="4874" width="17.453125" style="449" customWidth="1"/>
    <col min="4875" max="4875" width="10.453125" style="449" customWidth="1"/>
    <col min="4876" max="4876" width="19.453125" style="449" customWidth="1"/>
    <col min="4877" max="4877" width="17.453125" style="449" customWidth="1"/>
    <col min="4878" max="4878" width="43.81640625" style="449" customWidth="1"/>
    <col min="4879" max="4879" width="10.453125" style="449" customWidth="1"/>
    <col min="4880" max="4880" width="13.453125" style="449" customWidth="1"/>
    <col min="4881" max="4882" width="21.453125" style="449" customWidth="1"/>
    <col min="4883" max="4884" width="22" style="449" customWidth="1"/>
    <col min="4885" max="4885" width="22.453125" style="449" bestFit="1" customWidth="1"/>
    <col min="4886" max="4886" width="22.453125" style="449" customWidth="1"/>
    <col min="4887" max="4887" width="22.81640625" style="449" bestFit="1" customWidth="1"/>
    <col min="4888" max="4888" width="22.81640625" style="449" customWidth="1"/>
    <col min="4889" max="4889" width="19.453125" style="449" customWidth="1"/>
    <col min="4890" max="4890" width="8.81640625" style="449"/>
    <col min="4891" max="4891" width="17.453125" style="449" bestFit="1" customWidth="1"/>
    <col min="4892" max="4892" width="16" style="449" customWidth="1"/>
    <col min="4893" max="4894" width="17.453125" style="449" customWidth="1"/>
    <col min="4895" max="4895" width="16.453125" style="449" customWidth="1"/>
    <col min="4896" max="4896" width="8.81640625" style="449"/>
    <col min="4897" max="4897" width="22.453125" style="449" bestFit="1" customWidth="1"/>
    <col min="4898" max="4898" width="22.1796875" style="449" bestFit="1" customWidth="1"/>
    <col min="4899" max="4900" width="17.453125" style="449" customWidth="1"/>
    <col min="4901" max="4901" width="18.1796875" style="449" customWidth="1"/>
    <col min="4902" max="5079" width="8.81640625" style="449"/>
    <col min="5080" max="5080" width="1.453125" style="449" customWidth="1"/>
    <col min="5081" max="5081" width="51.453125" style="449" customWidth="1"/>
    <col min="5082" max="5082" width="12.453125" style="449" customWidth="1"/>
    <col min="5083" max="5083" width="21.453125" style="449" bestFit="1" customWidth="1"/>
    <col min="5084" max="5084" width="12.453125" style="449" customWidth="1"/>
    <col min="5085" max="5085" width="14.453125" style="449" customWidth="1"/>
    <col min="5086" max="5086" width="15.1796875" style="449" customWidth="1"/>
    <col min="5087" max="5087" width="12.453125" style="449" bestFit="1" customWidth="1"/>
    <col min="5088" max="5088" width="13" style="449" customWidth="1"/>
    <col min="5089" max="5089" width="14.54296875" style="449" customWidth="1"/>
    <col min="5090" max="5090" width="44.453125" style="449" customWidth="1"/>
    <col min="5091" max="5091" width="34.54296875" style="449" customWidth="1"/>
    <col min="5092" max="5092" width="37.453125" style="449" customWidth="1"/>
    <col min="5093" max="5093" width="19.81640625" style="449" customWidth="1"/>
    <col min="5094" max="5118" width="8.81640625" style="449"/>
    <col min="5119" max="5119" width="9.54296875" style="449" customWidth="1"/>
    <col min="5120" max="5120" width="50.54296875" style="449" customWidth="1"/>
    <col min="5121" max="5121" width="14.81640625" style="449" customWidth="1"/>
    <col min="5122" max="5122" width="15.54296875" style="449" customWidth="1"/>
    <col min="5123" max="5123" width="8.54296875" style="449" bestFit="1" customWidth="1"/>
    <col min="5124" max="5124" width="21.1796875" style="449" customWidth="1"/>
    <col min="5125" max="5125" width="10.453125" style="449" customWidth="1"/>
    <col min="5126" max="5126" width="17.453125" style="449" customWidth="1"/>
    <col min="5127" max="5127" width="11.1796875" style="449" customWidth="1"/>
    <col min="5128" max="5128" width="17.453125" style="449" customWidth="1"/>
    <col min="5129" max="5129" width="9.453125" style="449" customWidth="1"/>
    <col min="5130" max="5130" width="17.453125" style="449" customWidth="1"/>
    <col min="5131" max="5131" width="10.453125" style="449" customWidth="1"/>
    <col min="5132" max="5132" width="19.453125" style="449" customWidth="1"/>
    <col min="5133" max="5133" width="17.453125" style="449" customWidth="1"/>
    <col min="5134" max="5134" width="43.81640625" style="449" customWidth="1"/>
    <col min="5135" max="5135" width="10.453125" style="449" customWidth="1"/>
    <col min="5136" max="5136" width="13.453125" style="449" customWidth="1"/>
    <col min="5137" max="5138" width="21.453125" style="449" customWidth="1"/>
    <col min="5139" max="5140" width="22" style="449" customWidth="1"/>
    <col min="5141" max="5141" width="22.453125" style="449" bestFit="1" customWidth="1"/>
    <col min="5142" max="5142" width="22.453125" style="449" customWidth="1"/>
    <col min="5143" max="5143" width="22.81640625" style="449" bestFit="1" customWidth="1"/>
    <col min="5144" max="5144" width="22.81640625" style="449" customWidth="1"/>
    <col min="5145" max="5145" width="19.453125" style="449" customWidth="1"/>
    <col min="5146" max="5146" width="8.81640625" style="449"/>
    <col min="5147" max="5147" width="17.453125" style="449" bestFit="1" customWidth="1"/>
    <col min="5148" max="5148" width="16" style="449" customWidth="1"/>
    <col min="5149" max="5150" width="17.453125" style="449" customWidth="1"/>
    <col min="5151" max="5151" width="16.453125" style="449" customWidth="1"/>
    <col min="5152" max="5152" width="8.81640625" style="449"/>
    <col min="5153" max="5153" width="22.453125" style="449" bestFit="1" customWidth="1"/>
    <col min="5154" max="5154" width="22.1796875" style="449" bestFit="1" customWidth="1"/>
    <col min="5155" max="5156" width="17.453125" style="449" customWidth="1"/>
    <col min="5157" max="5157" width="18.1796875" style="449" customWidth="1"/>
    <col min="5158" max="5335" width="8.81640625" style="449"/>
    <col min="5336" max="5336" width="1.453125" style="449" customWidth="1"/>
    <col min="5337" max="5337" width="51.453125" style="449" customWidth="1"/>
    <col min="5338" max="5338" width="12.453125" style="449" customWidth="1"/>
    <col min="5339" max="5339" width="21.453125" style="449" bestFit="1" customWidth="1"/>
    <col min="5340" max="5340" width="12.453125" style="449" customWidth="1"/>
    <col min="5341" max="5341" width="14.453125" style="449" customWidth="1"/>
    <col min="5342" max="5342" width="15.1796875" style="449" customWidth="1"/>
    <col min="5343" max="5343" width="12.453125" style="449" bestFit="1" customWidth="1"/>
    <col min="5344" max="5344" width="13" style="449" customWidth="1"/>
    <col min="5345" max="5345" width="14.54296875" style="449" customWidth="1"/>
    <col min="5346" max="5346" width="44.453125" style="449" customWidth="1"/>
    <col min="5347" max="5347" width="34.54296875" style="449" customWidth="1"/>
    <col min="5348" max="5348" width="37.453125" style="449" customWidth="1"/>
    <col min="5349" max="5349" width="19.81640625" style="449" customWidth="1"/>
    <col min="5350" max="5374" width="8.81640625" style="449"/>
    <col min="5375" max="5375" width="9.54296875" style="449" customWidth="1"/>
    <col min="5376" max="5376" width="50.54296875" style="449" customWidth="1"/>
    <col min="5377" max="5377" width="14.81640625" style="449" customWidth="1"/>
    <col min="5378" max="5378" width="15.54296875" style="449" customWidth="1"/>
    <col min="5379" max="5379" width="8.54296875" style="449" bestFit="1" customWidth="1"/>
    <col min="5380" max="5380" width="21.1796875" style="449" customWidth="1"/>
    <col min="5381" max="5381" width="10.453125" style="449" customWidth="1"/>
    <col min="5382" max="5382" width="17.453125" style="449" customWidth="1"/>
    <col min="5383" max="5383" width="11.1796875" style="449" customWidth="1"/>
    <col min="5384" max="5384" width="17.453125" style="449" customWidth="1"/>
    <col min="5385" max="5385" width="9.453125" style="449" customWidth="1"/>
    <col min="5386" max="5386" width="17.453125" style="449" customWidth="1"/>
    <col min="5387" max="5387" width="10.453125" style="449" customWidth="1"/>
    <col min="5388" max="5388" width="19.453125" style="449" customWidth="1"/>
    <col min="5389" max="5389" width="17.453125" style="449" customWidth="1"/>
    <col min="5390" max="5390" width="43.81640625" style="449" customWidth="1"/>
    <col min="5391" max="5391" width="10.453125" style="449" customWidth="1"/>
    <col min="5392" max="5392" width="13.453125" style="449" customWidth="1"/>
    <col min="5393" max="5394" width="21.453125" style="449" customWidth="1"/>
    <col min="5395" max="5396" width="22" style="449" customWidth="1"/>
    <col min="5397" max="5397" width="22.453125" style="449" bestFit="1" customWidth="1"/>
    <col min="5398" max="5398" width="22.453125" style="449" customWidth="1"/>
    <col min="5399" max="5399" width="22.81640625" style="449" bestFit="1" customWidth="1"/>
    <col min="5400" max="5400" width="22.81640625" style="449" customWidth="1"/>
    <col min="5401" max="5401" width="19.453125" style="449" customWidth="1"/>
    <col min="5402" max="5402" width="8.81640625" style="449"/>
    <col min="5403" max="5403" width="17.453125" style="449" bestFit="1" customWidth="1"/>
    <col min="5404" max="5404" width="16" style="449" customWidth="1"/>
    <col min="5405" max="5406" width="17.453125" style="449" customWidth="1"/>
    <col min="5407" max="5407" width="16.453125" style="449" customWidth="1"/>
    <col min="5408" max="5408" width="8.81640625" style="449"/>
    <col min="5409" max="5409" width="22.453125" style="449" bestFit="1" customWidth="1"/>
    <col min="5410" max="5410" width="22.1796875" style="449" bestFit="1" customWidth="1"/>
    <col min="5411" max="5412" width="17.453125" style="449" customWidth="1"/>
    <col min="5413" max="5413" width="18.1796875" style="449" customWidth="1"/>
    <col min="5414" max="5591" width="8.81640625" style="449"/>
    <col min="5592" max="5592" width="1.453125" style="449" customWidth="1"/>
    <col min="5593" max="5593" width="51.453125" style="449" customWidth="1"/>
    <col min="5594" max="5594" width="12.453125" style="449" customWidth="1"/>
    <col min="5595" max="5595" width="21.453125" style="449" bestFit="1" customWidth="1"/>
    <col min="5596" max="5596" width="12.453125" style="449" customWidth="1"/>
    <col min="5597" max="5597" width="14.453125" style="449" customWidth="1"/>
    <col min="5598" max="5598" width="15.1796875" style="449" customWidth="1"/>
    <col min="5599" max="5599" width="12.453125" style="449" bestFit="1" customWidth="1"/>
    <col min="5600" max="5600" width="13" style="449" customWidth="1"/>
    <col min="5601" max="5601" width="14.54296875" style="449" customWidth="1"/>
    <col min="5602" max="5602" width="44.453125" style="449" customWidth="1"/>
    <col min="5603" max="5603" width="34.54296875" style="449" customWidth="1"/>
    <col min="5604" max="5604" width="37.453125" style="449" customWidth="1"/>
    <col min="5605" max="5605" width="19.81640625" style="449" customWidth="1"/>
    <col min="5606" max="5630" width="8.81640625" style="449"/>
    <col min="5631" max="5631" width="9.54296875" style="449" customWidth="1"/>
    <col min="5632" max="5632" width="50.54296875" style="449" customWidth="1"/>
    <col min="5633" max="5633" width="14.81640625" style="449" customWidth="1"/>
    <col min="5634" max="5634" width="15.54296875" style="449" customWidth="1"/>
    <col min="5635" max="5635" width="8.54296875" style="449" bestFit="1" customWidth="1"/>
    <col min="5636" max="5636" width="21.1796875" style="449" customWidth="1"/>
    <col min="5637" max="5637" width="10.453125" style="449" customWidth="1"/>
    <col min="5638" max="5638" width="17.453125" style="449" customWidth="1"/>
    <col min="5639" max="5639" width="11.1796875" style="449" customWidth="1"/>
    <col min="5640" max="5640" width="17.453125" style="449" customWidth="1"/>
    <col min="5641" max="5641" width="9.453125" style="449" customWidth="1"/>
    <col min="5642" max="5642" width="17.453125" style="449" customWidth="1"/>
    <col min="5643" max="5643" width="10.453125" style="449" customWidth="1"/>
    <col min="5644" max="5644" width="19.453125" style="449" customWidth="1"/>
    <col min="5645" max="5645" width="17.453125" style="449" customWidth="1"/>
    <col min="5646" max="5646" width="43.81640625" style="449" customWidth="1"/>
    <col min="5647" max="5647" width="10.453125" style="449" customWidth="1"/>
    <col min="5648" max="5648" width="13.453125" style="449" customWidth="1"/>
    <col min="5649" max="5650" width="21.453125" style="449" customWidth="1"/>
    <col min="5651" max="5652" width="22" style="449" customWidth="1"/>
    <col min="5653" max="5653" width="22.453125" style="449" bestFit="1" customWidth="1"/>
    <col min="5654" max="5654" width="22.453125" style="449" customWidth="1"/>
    <col min="5655" max="5655" width="22.81640625" style="449" bestFit="1" customWidth="1"/>
    <col min="5656" max="5656" width="22.81640625" style="449" customWidth="1"/>
    <col min="5657" max="5657" width="19.453125" style="449" customWidth="1"/>
    <col min="5658" max="5658" width="8.81640625" style="449"/>
    <col min="5659" max="5659" width="17.453125" style="449" bestFit="1" customWidth="1"/>
    <col min="5660" max="5660" width="16" style="449" customWidth="1"/>
    <col min="5661" max="5662" width="17.453125" style="449" customWidth="1"/>
    <col min="5663" max="5663" width="16.453125" style="449" customWidth="1"/>
    <col min="5664" max="5664" width="8.81640625" style="449"/>
    <col min="5665" max="5665" width="22.453125" style="449" bestFit="1" customWidth="1"/>
    <col min="5666" max="5666" width="22.1796875" style="449" bestFit="1" customWidth="1"/>
    <col min="5667" max="5668" width="17.453125" style="449" customWidth="1"/>
    <col min="5669" max="5669" width="18.1796875" style="449" customWidth="1"/>
    <col min="5670" max="5847" width="8.81640625" style="449"/>
    <col min="5848" max="5848" width="1.453125" style="449" customWidth="1"/>
    <col min="5849" max="5849" width="51.453125" style="449" customWidth="1"/>
    <col min="5850" max="5850" width="12.453125" style="449" customWidth="1"/>
    <col min="5851" max="5851" width="21.453125" style="449" bestFit="1" customWidth="1"/>
    <col min="5852" max="5852" width="12.453125" style="449" customWidth="1"/>
    <col min="5853" max="5853" width="14.453125" style="449" customWidth="1"/>
    <col min="5854" max="5854" width="15.1796875" style="449" customWidth="1"/>
    <col min="5855" max="5855" width="12.453125" style="449" bestFit="1" customWidth="1"/>
    <col min="5856" max="5856" width="13" style="449" customWidth="1"/>
    <col min="5857" max="5857" width="14.54296875" style="449" customWidth="1"/>
    <col min="5858" max="5858" width="44.453125" style="449" customWidth="1"/>
    <col min="5859" max="5859" width="34.54296875" style="449" customWidth="1"/>
    <col min="5860" max="5860" width="37.453125" style="449" customWidth="1"/>
    <col min="5861" max="5861" width="19.81640625" style="449" customWidth="1"/>
    <col min="5862" max="5886" width="8.81640625" style="449"/>
    <col min="5887" max="5887" width="9.54296875" style="449" customWidth="1"/>
    <col min="5888" max="5888" width="50.54296875" style="449" customWidth="1"/>
    <col min="5889" max="5889" width="14.81640625" style="449" customWidth="1"/>
    <col min="5890" max="5890" width="15.54296875" style="449" customWidth="1"/>
    <col min="5891" max="5891" width="8.54296875" style="449" bestFit="1" customWidth="1"/>
    <col min="5892" max="5892" width="21.1796875" style="449" customWidth="1"/>
    <col min="5893" max="5893" width="10.453125" style="449" customWidth="1"/>
    <col min="5894" max="5894" width="17.453125" style="449" customWidth="1"/>
    <col min="5895" max="5895" width="11.1796875" style="449" customWidth="1"/>
    <col min="5896" max="5896" width="17.453125" style="449" customWidth="1"/>
    <col min="5897" max="5897" width="9.453125" style="449" customWidth="1"/>
    <col min="5898" max="5898" width="17.453125" style="449" customWidth="1"/>
    <col min="5899" max="5899" width="10.453125" style="449" customWidth="1"/>
    <col min="5900" max="5900" width="19.453125" style="449" customWidth="1"/>
    <col min="5901" max="5901" width="17.453125" style="449" customWidth="1"/>
    <col min="5902" max="5902" width="43.81640625" style="449" customWidth="1"/>
    <col min="5903" max="5903" width="10.453125" style="449" customWidth="1"/>
    <col min="5904" max="5904" width="13.453125" style="449" customWidth="1"/>
    <col min="5905" max="5906" width="21.453125" style="449" customWidth="1"/>
    <col min="5907" max="5908" width="22" style="449" customWidth="1"/>
    <col min="5909" max="5909" width="22.453125" style="449" bestFit="1" customWidth="1"/>
    <col min="5910" max="5910" width="22.453125" style="449" customWidth="1"/>
    <col min="5911" max="5911" width="22.81640625" style="449" bestFit="1" customWidth="1"/>
    <col min="5912" max="5912" width="22.81640625" style="449" customWidth="1"/>
    <col min="5913" max="5913" width="19.453125" style="449" customWidth="1"/>
    <col min="5914" max="5914" width="8.81640625" style="449"/>
    <col min="5915" max="5915" width="17.453125" style="449" bestFit="1" customWidth="1"/>
    <col min="5916" max="5916" width="16" style="449" customWidth="1"/>
    <col min="5917" max="5918" width="17.453125" style="449" customWidth="1"/>
    <col min="5919" max="5919" width="16.453125" style="449" customWidth="1"/>
    <col min="5920" max="5920" width="8.81640625" style="449"/>
    <col min="5921" max="5921" width="22.453125" style="449" bestFit="1" customWidth="1"/>
    <col min="5922" max="5922" width="22.1796875" style="449" bestFit="1" customWidth="1"/>
    <col min="5923" max="5924" width="17.453125" style="449" customWidth="1"/>
    <col min="5925" max="5925" width="18.1796875" style="449" customWidth="1"/>
    <col min="5926" max="6103" width="8.81640625" style="449"/>
    <col min="6104" max="6104" width="1.453125" style="449" customWidth="1"/>
    <col min="6105" max="6105" width="51.453125" style="449" customWidth="1"/>
    <col min="6106" max="6106" width="12.453125" style="449" customWidth="1"/>
    <col min="6107" max="6107" width="21.453125" style="449" bestFit="1" customWidth="1"/>
    <col min="6108" max="6108" width="12.453125" style="449" customWidth="1"/>
    <col min="6109" max="6109" width="14.453125" style="449" customWidth="1"/>
    <col min="6110" max="6110" width="15.1796875" style="449" customWidth="1"/>
    <col min="6111" max="6111" width="12.453125" style="449" bestFit="1" customWidth="1"/>
    <col min="6112" max="6112" width="13" style="449" customWidth="1"/>
    <col min="6113" max="6113" width="14.54296875" style="449" customWidth="1"/>
    <col min="6114" max="6114" width="44.453125" style="449" customWidth="1"/>
    <col min="6115" max="6115" width="34.54296875" style="449" customWidth="1"/>
    <col min="6116" max="6116" width="37.453125" style="449" customWidth="1"/>
    <col min="6117" max="6117" width="19.81640625" style="449" customWidth="1"/>
    <col min="6118" max="6142" width="8.81640625" style="449"/>
    <col min="6143" max="6143" width="9.54296875" style="449" customWidth="1"/>
    <col min="6144" max="6144" width="50.54296875" style="449" customWidth="1"/>
    <col min="6145" max="6145" width="14.81640625" style="449" customWidth="1"/>
    <col min="6146" max="6146" width="15.54296875" style="449" customWidth="1"/>
    <col min="6147" max="6147" width="8.54296875" style="449" bestFit="1" customWidth="1"/>
    <col min="6148" max="6148" width="21.1796875" style="449" customWidth="1"/>
    <col min="6149" max="6149" width="10.453125" style="449" customWidth="1"/>
    <col min="6150" max="6150" width="17.453125" style="449" customWidth="1"/>
    <col min="6151" max="6151" width="11.1796875" style="449" customWidth="1"/>
    <col min="6152" max="6152" width="17.453125" style="449" customWidth="1"/>
    <col min="6153" max="6153" width="9.453125" style="449" customWidth="1"/>
    <col min="6154" max="6154" width="17.453125" style="449" customWidth="1"/>
    <col min="6155" max="6155" width="10.453125" style="449" customWidth="1"/>
    <col min="6156" max="6156" width="19.453125" style="449" customWidth="1"/>
    <col min="6157" max="6157" width="17.453125" style="449" customWidth="1"/>
    <col min="6158" max="6158" width="43.81640625" style="449" customWidth="1"/>
    <col min="6159" max="6159" width="10.453125" style="449" customWidth="1"/>
    <col min="6160" max="6160" width="13.453125" style="449" customWidth="1"/>
    <col min="6161" max="6162" width="21.453125" style="449" customWidth="1"/>
    <col min="6163" max="6164" width="22" style="449" customWidth="1"/>
    <col min="6165" max="6165" width="22.453125" style="449" bestFit="1" customWidth="1"/>
    <col min="6166" max="6166" width="22.453125" style="449" customWidth="1"/>
    <col min="6167" max="6167" width="22.81640625" style="449" bestFit="1" customWidth="1"/>
    <col min="6168" max="6168" width="22.81640625" style="449" customWidth="1"/>
    <col min="6169" max="6169" width="19.453125" style="449" customWidth="1"/>
    <col min="6170" max="6170" width="8.81640625" style="449"/>
    <col min="6171" max="6171" width="17.453125" style="449" bestFit="1" customWidth="1"/>
    <col min="6172" max="6172" width="16" style="449" customWidth="1"/>
    <col min="6173" max="6174" width="17.453125" style="449" customWidth="1"/>
    <col min="6175" max="6175" width="16.453125" style="449" customWidth="1"/>
    <col min="6176" max="6176" width="8.81640625" style="449"/>
    <col min="6177" max="6177" width="22.453125" style="449" bestFit="1" customWidth="1"/>
    <col min="6178" max="6178" width="22.1796875" style="449" bestFit="1" customWidth="1"/>
    <col min="6179" max="6180" width="17.453125" style="449" customWidth="1"/>
    <col min="6181" max="6181" width="18.1796875" style="449" customWidth="1"/>
    <col min="6182" max="6359" width="8.81640625" style="449"/>
    <col min="6360" max="6360" width="1.453125" style="449" customWidth="1"/>
    <col min="6361" max="6361" width="51.453125" style="449" customWidth="1"/>
    <col min="6362" max="6362" width="12.453125" style="449" customWidth="1"/>
    <col min="6363" max="6363" width="21.453125" style="449" bestFit="1" customWidth="1"/>
    <col min="6364" max="6364" width="12.453125" style="449" customWidth="1"/>
    <col min="6365" max="6365" width="14.453125" style="449" customWidth="1"/>
    <col min="6366" max="6366" width="15.1796875" style="449" customWidth="1"/>
    <col min="6367" max="6367" width="12.453125" style="449" bestFit="1" customWidth="1"/>
    <col min="6368" max="6368" width="13" style="449" customWidth="1"/>
    <col min="6369" max="6369" width="14.54296875" style="449" customWidth="1"/>
    <col min="6370" max="6370" width="44.453125" style="449" customWidth="1"/>
    <col min="6371" max="6371" width="34.54296875" style="449" customWidth="1"/>
    <col min="6372" max="6372" width="37.453125" style="449" customWidth="1"/>
    <col min="6373" max="6373" width="19.81640625" style="449" customWidth="1"/>
    <col min="6374" max="6398" width="8.81640625" style="449"/>
    <col min="6399" max="6399" width="9.54296875" style="449" customWidth="1"/>
    <col min="6400" max="6400" width="50.54296875" style="449" customWidth="1"/>
    <col min="6401" max="6401" width="14.81640625" style="449" customWidth="1"/>
    <col min="6402" max="6402" width="15.54296875" style="449" customWidth="1"/>
    <col min="6403" max="6403" width="8.54296875" style="449" bestFit="1" customWidth="1"/>
    <col min="6404" max="6404" width="21.1796875" style="449" customWidth="1"/>
    <col min="6405" max="6405" width="10.453125" style="449" customWidth="1"/>
    <col min="6406" max="6406" width="17.453125" style="449" customWidth="1"/>
    <col min="6407" max="6407" width="11.1796875" style="449" customWidth="1"/>
    <col min="6408" max="6408" width="17.453125" style="449" customWidth="1"/>
    <col min="6409" max="6409" width="9.453125" style="449" customWidth="1"/>
    <col min="6410" max="6410" width="17.453125" style="449" customWidth="1"/>
    <col min="6411" max="6411" width="10.453125" style="449" customWidth="1"/>
    <col min="6412" max="6412" width="19.453125" style="449" customWidth="1"/>
    <col min="6413" max="6413" width="17.453125" style="449" customWidth="1"/>
    <col min="6414" max="6414" width="43.81640625" style="449" customWidth="1"/>
    <col min="6415" max="6415" width="10.453125" style="449" customWidth="1"/>
    <col min="6416" max="6416" width="13.453125" style="449" customWidth="1"/>
    <col min="6417" max="6418" width="21.453125" style="449" customWidth="1"/>
    <col min="6419" max="6420" width="22" style="449" customWidth="1"/>
    <col min="6421" max="6421" width="22.453125" style="449" bestFit="1" customWidth="1"/>
    <col min="6422" max="6422" width="22.453125" style="449" customWidth="1"/>
    <col min="6423" max="6423" width="22.81640625" style="449" bestFit="1" customWidth="1"/>
    <col min="6424" max="6424" width="22.81640625" style="449" customWidth="1"/>
    <col min="6425" max="6425" width="19.453125" style="449" customWidth="1"/>
    <col min="6426" max="6426" width="8.81640625" style="449"/>
    <col min="6427" max="6427" width="17.453125" style="449" bestFit="1" customWidth="1"/>
    <col min="6428" max="6428" width="16" style="449" customWidth="1"/>
    <col min="6429" max="6430" width="17.453125" style="449" customWidth="1"/>
    <col min="6431" max="6431" width="16.453125" style="449" customWidth="1"/>
    <col min="6432" max="6432" width="8.81640625" style="449"/>
    <col min="6433" max="6433" width="22.453125" style="449" bestFit="1" customWidth="1"/>
    <col min="6434" max="6434" width="22.1796875" style="449" bestFit="1" customWidth="1"/>
    <col min="6435" max="6436" width="17.453125" style="449" customWidth="1"/>
    <col min="6437" max="6437" width="18.1796875" style="449" customWidth="1"/>
    <col min="6438" max="6615" width="8.81640625" style="449"/>
    <col min="6616" max="6616" width="1.453125" style="449" customWidth="1"/>
    <col min="6617" max="6617" width="51.453125" style="449" customWidth="1"/>
    <col min="6618" max="6618" width="12.453125" style="449" customWidth="1"/>
    <col min="6619" max="6619" width="21.453125" style="449" bestFit="1" customWidth="1"/>
    <col min="6620" max="6620" width="12.453125" style="449" customWidth="1"/>
    <col min="6621" max="6621" width="14.453125" style="449" customWidth="1"/>
    <col min="6622" max="6622" width="15.1796875" style="449" customWidth="1"/>
    <col min="6623" max="6623" width="12.453125" style="449" bestFit="1" customWidth="1"/>
    <col min="6624" max="6624" width="13" style="449" customWidth="1"/>
    <col min="6625" max="6625" width="14.54296875" style="449" customWidth="1"/>
    <col min="6626" max="6626" width="44.453125" style="449" customWidth="1"/>
    <col min="6627" max="6627" width="34.54296875" style="449" customWidth="1"/>
    <col min="6628" max="6628" width="37.453125" style="449" customWidth="1"/>
    <col min="6629" max="6629" width="19.81640625" style="449" customWidth="1"/>
    <col min="6630" max="6654" width="8.81640625" style="449"/>
    <col min="6655" max="6655" width="9.54296875" style="449" customWidth="1"/>
    <col min="6656" max="6656" width="50.54296875" style="449" customWidth="1"/>
    <col min="6657" max="6657" width="14.81640625" style="449" customWidth="1"/>
    <col min="6658" max="6658" width="15.54296875" style="449" customWidth="1"/>
    <col min="6659" max="6659" width="8.54296875" style="449" bestFit="1" customWidth="1"/>
    <col min="6660" max="6660" width="21.1796875" style="449" customWidth="1"/>
    <col min="6661" max="6661" width="10.453125" style="449" customWidth="1"/>
    <col min="6662" max="6662" width="17.453125" style="449" customWidth="1"/>
    <col min="6663" max="6663" width="11.1796875" style="449" customWidth="1"/>
    <col min="6664" max="6664" width="17.453125" style="449" customWidth="1"/>
    <col min="6665" max="6665" width="9.453125" style="449" customWidth="1"/>
    <col min="6666" max="6666" width="17.453125" style="449" customWidth="1"/>
    <col min="6667" max="6667" width="10.453125" style="449" customWidth="1"/>
    <col min="6668" max="6668" width="19.453125" style="449" customWidth="1"/>
    <col min="6669" max="6669" width="17.453125" style="449" customWidth="1"/>
    <col min="6670" max="6670" width="43.81640625" style="449" customWidth="1"/>
    <col min="6671" max="6671" width="10.453125" style="449" customWidth="1"/>
    <col min="6672" max="6672" width="13.453125" style="449" customWidth="1"/>
    <col min="6673" max="6674" width="21.453125" style="449" customWidth="1"/>
    <col min="6675" max="6676" width="22" style="449" customWidth="1"/>
    <col min="6677" max="6677" width="22.453125" style="449" bestFit="1" customWidth="1"/>
    <col min="6678" max="6678" width="22.453125" style="449" customWidth="1"/>
    <col min="6679" max="6679" width="22.81640625" style="449" bestFit="1" customWidth="1"/>
    <col min="6680" max="6680" width="22.81640625" style="449" customWidth="1"/>
    <col min="6681" max="6681" width="19.453125" style="449" customWidth="1"/>
    <col min="6682" max="6682" width="8.81640625" style="449"/>
    <col min="6683" max="6683" width="17.453125" style="449" bestFit="1" customWidth="1"/>
    <col min="6684" max="6684" width="16" style="449" customWidth="1"/>
    <col min="6685" max="6686" width="17.453125" style="449" customWidth="1"/>
    <col min="6687" max="6687" width="16.453125" style="449" customWidth="1"/>
    <col min="6688" max="6688" width="8.81640625" style="449"/>
    <col min="6689" max="6689" width="22.453125" style="449" bestFit="1" customWidth="1"/>
    <col min="6690" max="6690" width="22.1796875" style="449" bestFit="1" customWidth="1"/>
    <col min="6691" max="6692" width="17.453125" style="449" customWidth="1"/>
    <col min="6693" max="6693" width="18.1796875" style="449" customWidth="1"/>
    <col min="6694" max="6871" width="8.81640625" style="449"/>
    <col min="6872" max="6872" width="1.453125" style="449" customWidth="1"/>
    <col min="6873" max="6873" width="51.453125" style="449" customWidth="1"/>
    <col min="6874" max="6874" width="12.453125" style="449" customWidth="1"/>
    <col min="6875" max="6875" width="21.453125" style="449" bestFit="1" customWidth="1"/>
    <col min="6876" max="6876" width="12.453125" style="449" customWidth="1"/>
    <col min="6877" max="6877" width="14.453125" style="449" customWidth="1"/>
    <col min="6878" max="6878" width="15.1796875" style="449" customWidth="1"/>
    <col min="6879" max="6879" width="12.453125" style="449" bestFit="1" customWidth="1"/>
    <col min="6880" max="6880" width="13" style="449" customWidth="1"/>
    <col min="6881" max="6881" width="14.54296875" style="449" customWidth="1"/>
    <col min="6882" max="6882" width="44.453125" style="449" customWidth="1"/>
    <col min="6883" max="6883" width="34.54296875" style="449" customWidth="1"/>
    <col min="6884" max="6884" width="37.453125" style="449" customWidth="1"/>
    <col min="6885" max="6885" width="19.81640625" style="449" customWidth="1"/>
    <col min="6886" max="6910" width="8.81640625" style="449"/>
    <col min="6911" max="6911" width="9.54296875" style="449" customWidth="1"/>
    <col min="6912" max="6912" width="50.54296875" style="449" customWidth="1"/>
    <col min="6913" max="6913" width="14.81640625" style="449" customWidth="1"/>
    <col min="6914" max="6914" width="15.54296875" style="449" customWidth="1"/>
    <col min="6915" max="6915" width="8.54296875" style="449" bestFit="1" customWidth="1"/>
    <col min="6916" max="6916" width="21.1796875" style="449" customWidth="1"/>
    <col min="6917" max="6917" width="10.453125" style="449" customWidth="1"/>
    <col min="6918" max="6918" width="17.453125" style="449" customWidth="1"/>
    <col min="6919" max="6919" width="11.1796875" style="449" customWidth="1"/>
    <col min="6920" max="6920" width="17.453125" style="449" customWidth="1"/>
    <col min="6921" max="6921" width="9.453125" style="449" customWidth="1"/>
    <col min="6922" max="6922" width="17.453125" style="449" customWidth="1"/>
    <col min="6923" max="6923" width="10.453125" style="449" customWidth="1"/>
    <col min="6924" max="6924" width="19.453125" style="449" customWidth="1"/>
    <col min="6925" max="6925" width="17.453125" style="449" customWidth="1"/>
    <col min="6926" max="6926" width="43.81640625" style="449" customWidth="1"/>
    <col min="6927" max="6927" width="10.453125" style="449" customWidth="1"/>
    <col min="6928" max="6928" width="13.453125" style="449" customWidth="1"/>
    <col min="6929" max="6930" width="21.453125" style="449" customWidth="1"/>
    <col min="6931" max="6932" width="22" style="449" customWidth="1"/>
    <col min="6933" max="6933" width="22.453125" style="449" bestFit="1" customWidth="1"/>
    <col min="6934" max="6934" width="22.453125" style="449" customWidth="1"/>
    <col min="6935" max="6935" width="22.81640625" style="449" bestFit="1" customWidth="1"/>
    <col min="6936" max="6936" width="22.81640625" style="449" customWidth="1"/>
    <col min="6937" max="6937" width="19.453125" style="449" customWidth="1"/>
    <col min="6938" max="6938" width="8.81640625" style="449"/>
    <col min="6939" max="6939" width="17.453125" style="449" bestFit="1" customWidth="1"/>
    <col min="6940" max="6940" width="16" style="449" customWidth="1"/>
    <col min="6941" max="6942" width="17.453125" style="449" customWidth="1"/>
    <col min="6943" max="6943" width="16.453125" style="449" customWidth="1"/>
    <col min="6944" max="6944" width="8.81640625" style="449"/>
    <col min="6945" max="6945" width="22.453125" style="449" bestFit="1" customWidth="1"/>
    <col min="6946" max="6946" width="22.1796875" style="449" bestFit="1" customWidth="1"/>
    <col min="6947" max="6948" width="17.453125" style="449" customWidth="1"/>
    <col min="6949" max="6949" width="18.1796875" style="449" customWidth="1"/>
    <col min="6950" max="7127" width="8.81640625" style="449"/>
    <col min="7128" max="7128" width="1.453125" style="449" customWidth="1"/>
    <col min="7129" max="7129" width="51.453125" style="449" customWidth="1"/>
    <col min="7130" max="7130" width="12.453125" style="449" customWidth="1"/>
    <col min="7131" max="7131" width="21.453125" style="449" bestFit="1" customWidth="1"/>
    <col min="7132" max="7132" width="12.453125" style="449" customWidth="1"/>
    <col min="7133" max="7133" width="14.453125" style="449" customWidth="1"/>
    <col min="7134" max="7134" width="15.1796875" style="449" customWidth="1"/>
    <col min="7135" max="7135" width="12.453125" style="449" bestFit="1" customWidth="1"/>
    <col min="7136" max="7136" width="13" style="449" customWidth="1"/>
    <col min="7137" max="7137" width="14.54296875" style="449" customWidth="1"/>
    <col min="7138" max="7138" width="44.453125" style="449" customWidth="1"/>
    <col min="7139" max="7139" width="34.54296875" style="449" customWidth="1"/>
    <col min="7140" max="7140" width="37.453125" style="449" customWidth="1"/>
    <col min="7141" max="7141" width="19.81640625" style="449" customWidth="1"/>
    <col min="7142" max="7166" width="8.81640625" style="449"/>
    <col min="7167" max="7167" width="9.54296875" style="449" customWidth="1"/>
    <col min="7168" max="7168" width="50.54296875" style="449" customWidth="1"/>
    <col min="7169" max="7169" width="14.81640625" style="449" customWidth="1"/>
    <col min="7170" max="7170" width="15.54296875" style="449" customWidth="1"/>
    <col min="7171" max="7171" width="8.54296875" style="449" bestFit="1" customWidth="1"/>
    <col min="7172" max="7172" width="21.1796875" style="449" customWidth="1"/>
    <col min="7173" max="7173" width="10.453125" style="449" customWidth="1"/>
    <col min="7174" max="7174" width="17.453125" style="449" customWidth="1"/>
    <col min="7175" max="7175" width="11.1796875" style="449" customWidth="1"/>
    <col min="7176" max="7176" width="17.453125" style="449" customWidth="1"/>
    <col min="7177" max="7177" width="9.453125" style="449" customWidth="1"/>
    <col min="7178" max="7178" width="17.453125" style="449" customWidth="1"/>
    <col min="7179" max="7179" width="10.453125" style="449" customWidth="1"/>
    <col min="7180" max="7180" width="19.453125" style="449" customWidth="1"/>
    <col min="7181" max="7181" width="17.453125" style="449" customWidth="1"/>
    <col min="7182" max="7182" width="43.81640625" style="449" customWidth="1"/>
    <col min="7183" max="7183" width="10.453125" style="449" customWidth="1"/>
    <col min="7184" max="7184" width="13.453125" style="449" customWidth="1"/>
    <col min="7185" max="7186" width="21.453125" style="449" customWidth="1"/>
    <col min="7187" max="7188" width="22" style="449" customWidth="1"/>
    <col min="7189" max="7189" width="22.453125" style="449" bestFit="1" customWidth="1"/>
    <col min="7190" max="7190" width="22.453125" style="449" customWidth="1"/>
    <col min="7191" max="7191" width="22.81640625" style="449" bestFit="1" customWidth="1"/>
    <col min="7192" max="7192" width="22.81640625" style="449" customWidth="1"/>
    <col min="7193" max="7193" width="19.453125" style="449" customWidth="1"/>
    <col min="7194" max="7194" width="8.81640625" style="449"/>
    <col min="7195" max="7195" width="17.453125" style="449" bestFit="1" customWidth="1"/>
    <col min="7196" max="7196" width="16" style="449" customWidth="1"/>
    <col min="7197" max="7198" width="17.453125" style="449" customWidth="1"/>
    <col min="7199" max="7199" width="16.453125" style="449" customWidth="1"/>
    <col min="7200" max="7200" width="8.81640625" style="449"/>
    <col min="7201" max="7201" width="22.453125" style="449" bestFit="1" customWidth="1"/>
    <col min="7202" max="7202" width="22.1796875" style="449" bestFit="1" customWidth="1"/>
    <col min="7203" max="7204" width="17.453125" style="449" customWidth="1"/>
    <col min="7205" max="7205" width="18.1796875" style="449" customWidth="1"/>
    <col min="7206" max="7383" width="8.81640625" style="449"/>
    <col min="7384" max="7384" width="1.453125" style="449" customWidth="1"/>
    <col min="7385" max="7385" width="51.453125" style="449" customWidth="1"/>
    <col min="7386" max="7386" width="12.453125" style="449" customWidth="1"/>
    <col min="7387" max="7387" width="21.453125" style="449" bestFit="1" customWidth="1"/>
    <col min="7388" max="7388" width="12.453125" style="449" customWidth="1"/>
    <col min="7389" max="7389" width="14.453125" style="449" customWidth="1"/>
    <col min="7390" max="7390" width="15.1796875" style="449" customWidth="1"/>
    <col min="7391" max="7391" width="12.453125" style="449" bestFit="1" customWidth="1"/>
    <col min="7392" max="7392" width="13" style="449" customWidth="1"/>
    <col min="7393" max="7393" width="14.54296875" style="449" customWidth="1"/>
    <col min="7394" max="7394" width="44.453125" style="449" customWidth="1"/>
    <col min="7395" max="7395" width="34.54296875" style="449" customWidth="1"/>
    <col min="7396" max="7396" width="37.453125" style="449" customWidth="1"/>
    <col min="7397" max="7397" width="19.81640625" style="449" customWidth="1"/>
    <col min="7398" max="7422" width="8.81640625" style="449"/>
    <col min="7423" max="7423" width="9.54296875" style="449" customWidth="1"/>
    <col min="7424" max="7424" width="50.54296875" style="449" customWidth="1"/>
    <col min="7425" max="7425" width="14.81640625" style="449" customWidth="1"/>
    <col min="7426" max="7426" width="15.54296875" style="449" customWidth="1"/>
    <col min="7427" max="7427" width="8.54296875" style="449" bestFit="1" customWidth="1"/>
    <col min="7428" max="7428" width="21.1796875" style="449" customWidth="1"/>
    <col min="7429" max="7429" width="10.453125" style="449" customWidth="1"/>
    <col min="7430" max="7430" width="17.453125" style="449" customWidth="1"/>
    <col min="7431" max="7431" width="11.1796875" style="449" customWidth="1"/>
    <col min="7432" max="7432" width="17.453125" style="449" customWidth="1"/>
    <col min="7433" max="7433" width="9.453125" style="449" customWidth="1"/>
    <col min="7434" max="7434" width="17.453125" style="449" customWidth="1"/>
    <col min="7435" max="7435" width="10.453125" style="449" customWidth="1"/>
    <col min="7436" max="7436" width="19.453125" style="449" customWidth="1"/>
    <col min="7437" max="7437" width="17.453125" style="449" customWidth="1"/>
    <col min="7438" max="7438" width="43.81640625" style="449" customWidth="1"/>
    <col min="7439" max="7439" width="10.453125" style="449" customWidth="1"/>
    <col min="7440" max="7440" width="13.453125" style="449" customWidth="1"/>
    <col min="7441" max="7442" width="21.453125" style="449" customWidth="1"/>
    <col min="7443" max="7444" width="22" style="449" customWidth="1"/>
    <col min="7445" max="7445" width="22.453125" style="449" bestFit="1" customWidth="1"/>
    <col min="7446" max="7446" width="22.453125" style="449" customWidth="1"/>
    <col min="7447" max="7447" width="22.81640625" style="449" bestFit="1" customWidth="1"/>
    <col min="7448" max="7448" width="22.81640625" style="449" customWidth="1"/>
    <col min="7449" max="7449" width="19.453125" style="449" customWidth="1"/>
    <col min="7450" max="7450" width="8.81640625" style="449"/>
    <col min="7451" max="7451" width="17.453125" style="449" bestFit="1" customWidth="1"/>
    <col min="7452" max="7452" width="16" style="449" customWidth="1"/>
    <col min="7453" max="7454" width="17.453125" style="449" customWidth="1"/>
    <col min="7455" max="7455" width="16.453125" style="449" customWidth="1"/>
    <col min="7456" max="7456" width="8.81640625" style="449"/>
    <col min="7457" max="7457" width="22.453125" style="449" bestFit="1" customWidth="1"/>
    <col min="7458" max="7458" width="22.1796875" style="449" bestFit="1" customWidth="1"/>
    <col min="7459" max="7460" width="17.453125" style="449" customWidth="1"/>
    <col min="7461" max="7461" width="18.1796875" style="449" customWidth="1"/>
    <col min="7462" max="7639" width="8.81640625" style="449"/>
    <col min="7640" max="7640" width="1.453125" style="449" customWidth="1"/>
    <col min="7641" max="7641" width="51.453125" style="449" customWidth="1"/>
    <col min="7642" max="7642" width="12.453125" style="449" customWidth="1"/>
    <col min="7643" max="7643" width="21.453125" style="449" bestFit="1" customWidth="1"/>
    <col min="7644" max="7644" width="12.453125" style="449" customWidth="1"/>
    <col min="7645" max="7645" width="14.453125" style="449" customWidth="1"/>
    <col min="7646" max="7646" width="15.1796875" style="449" customWidth="1"/>
    <col min="7647" max="7647" width="12.453125" style="449" bestFit="1" customWidth="1"/>
    <col min="7648" max="7648" width="13" style="449" customWidth="1"/>
    <col min="7649" max="7649" width="14.54296875" style="449" customWidth="1"/>
    <col min="7650" max="7650" width="44.453125" style="449" customWidth="1"/>
    <col min="7651" max="7651" width="34.54296875" style="449" customWidth="1"/>
    <col min="7652" max="7652" width="37.453125" style="449" customWidth="1"/>
    <col min="7653" max="7653" width="19.81640625" style="449" customWidth="1"/>
    <col min="7654" max="7678" width="8.81640625" style="449"/>
    <col min="7679" max="7679" width="9.54296875" style="449" customWidth="1"/>
    <col min="7680" max="7680" width="50.54296875" style="449" customWidth="1"/>
    <col min="7681" max="7681" width="14.81640625" style="449" customWidth="1"/>
    <col min="7682" max="7682" width="15.54296875" style="449" customWidth="1"/>
    <col min="7683" max="7683" width="8.54296875" style="449" bestFit="1" customWidth="1"/>
    <col min="7684" max="7684" width="21.1796875" style="449" customWidth="1"/>
    <col min="7685" max="7685" width="10.453125" style="449" customWidth="1"/>
    <col min="7686" max="7686" width="17.453125" style="449" customWidth="1"/>
    <col min="7687" max="7687" width="11.1796875" style="449" customWidth="1"/>
    <col min="7688" max="7688" width="17.453125" style="449" customWidth="1"/>
    <col min="7689" max="7689" width="9.453125" style="449" customWidth="1"/>
    <col min="7690" max="7690" width="17.453125" style="449" customWidth="1"/>
    <col min="7691" max="7691" width="10.453125" style="449" customWidth="1"/>
    <col min="7692" max="7692" width="19.453125" style="449" customWidth="1"/>
    <col min="7693" max="7693" width="17.453125" style="449" customWidth="1"/>
    <col min="7694" max="7694" width="43.81640625" style="449" customWidth="1"/>
    <col min="7695" max="7695" width="10.453125" style="449" customWidth="1"/>
    <col min="7696" max="7696" width="13.453125" style="449" customWidth="1"/>
    <col min="7697" max="7698" width="21.453125" style="449" customWidth="1"/>
    <col min="7699" max="7700" width="22" style="449" customWidth="1"/>
    <col min="7701" max="7701" width="22.453125" style="449" bestFit="1" customWidth="1"/>
    <col min="7702" max="7702" width="22.453125" style="449" customWidth="1"/>
    <col min="7703" max="7703" width="22.81640625" style="449" bestFit="1" customWidth="1"/>
    <col min="7704" max="7704" width="22.81640625" style="449" customWidth="1"/>
    <col min="7705" max="7705" width="19.453125" style="449" customWidth="1"/>
    <col min="7706" max="7706" width="8.81640625" style="449"/>
    <col min="7707" max="7707" width="17.453125" style="449" bestFit="1" customWidth="1"/>
    <col min="7708" max="7708" width="16" style="449" customWidth="1"/>
    <col min="7709" max="7710" width="17.453125" style="449" customWidth="1"/>
    <col min="7711" max="7711" width="16.453125" style="449" customWidth="1"/>
    <col min="7712" max="7712" width="8.81640625" style="449"/>
    <col min="7713" max="7713" width="22.453125" style="449" bestFit="1" customWidth="1"/>
    <col min="7714" max="7714" width="22.1796875" style="449" bestFit="1" customWidth="1"/>
    <col min="7715" max="7716" width="17.453125" style="449" customWidth="1"/>
    <col min="7717" max="7717" width="18.1796875" style="449" customWidth="1"/>
    <col min="7718" max="7895" width="8.81640625" style="449"/>
    <col min="7896" max="7896" width="1.453125" style="449" customWidth="1"/>
    <col min="7897" max="7897" width="51.453125" style="449" customWidth="1"/>
    <col min="7898" max="7898" width="12.453125" style="449" customWidth="1"/>
    <col min="7899" max="7899" width="21.453125" style="449" bestFit="1" customWidth="1"/>
    <col min="7900" max="7900" width="12.453125" style="449" customWidth="1"/>
    <col min="7901" max="7901" width="14.453125" style="449" customWidth="1"/>
    <col min="7902" max="7902" width="15.1796875" style="449" customWidth="1"/>
    <col min="7903" max="7903" width="12.453125" style="449" bestFit="1" customWidth="1"/>
    <col min="7904" max="7904" width="13" style="449" customWidth="1"/>
    <col min="7905" max="7905" width="14.54296875" style="449" customWidth="1"/>
    <col min="7906" max="7906" width="44.453125" style="449" customWidth="1"/>
    <col min="7907" max="7907" width="34.54296875" style="449" customWidth="1"/>
    <col min="7908" max="7908" width="37.453125" style="449" customWidth="1"/>
    <col min="7909" max="7909" width="19.81640625" style="449" customWidth="1"/>
    <col min="7910" max="7934" width="8.81640625" style="449"/>
    <col min="7935" max="7935" width="9.54296875" style="449" customWidth="1"/>
    <col min="7936" max="7936" width="50.54296875" style="449" customWidth="1"/>
    <col min="7937" max="7937" width="14.81640625" style="449" customWidth="1"/>
    <col min="7938" max="7938" width="15.54296875" style="449" customWidth="1"/>
    <col min="7939" max="7939" width="8.54296875" style="449" bestFit="1" customWidth="1"/>
    <col min="7940" max="7940" width="21.1796875" style="449" customWidth="1"/>
    <col min="7941" max="7941" width="10.453125" style="449" customWidth="1"/>
    <col min="7942" max="7942" width="17.453125" style="449" customWidth="1"/>
    <col min="7943" max="7943" width="11.1796875" style="449" customWidth="1"/>
    <col min="7944" max="7944" width="17.453125" style="449" customWidth="1"/>
    <col min="7945" max="7945" width="9.453125" style="449" customWidth="1"/>
    <col min="7946" max="7946" width="17.453125" style="449" customWidth="1"/>
    <col min="7947" max="7947" width="10.453125" style="449" customWidth="1"/>
    <col min="7948" max="7948" width="19.453125" style="449" customWidth="1"/>
    <col min="7949" max="7949" width="17.453125" style="449" customWidth="1"/>
    <col min="7950" max="7950" width="43.81640625" style="449" customWidth="1"/>
    <col min="7951" max="7951" width="10.453125" style="449" customWidth="1"/>
    <col min="7952" max="7952" width="13.453125" style="449" customWidth="1"/>
    <col min="7953" max="7954" width="21.453125" style="449" customWidth="1"/>
    <col min="7955" max="7956" width="22" style="449" customWidth="1"/>
    <col min="7957" max="7957" width="22.453125" style="449" bestFit="1" customWidth="1"/>
    <col min="7958" max="7958" width="22.453125" style="449" customWidth="1"/>
    <col min="7959" max="7959" width="22.81640625" style="449" bestFit="1" customWidth="1"/>
    <col min="7960" max="7960" width="22.81640625" style="449" customWidth="1"/>
    <col min="7961" max="7961" width="19.453125" style="449" customWidth="1"/>
    <col min="7962" max="7962" width="8.81640625" style="449"/>
    <col min="7963" max="7963" width="17.453125" style="449" bestFit="1" customWidth="1"/>
    <col min="7964" max="7964" width="16" style="449" customWidth="1"/>
    <col min="7965" max="7966" width="17.453125" style="449" customWidth="1"/>
    <col min="7967" max="7967" width="16.453125" style="449" customWidth="1"/>
    <col min="7968" max="7968" width="8.81640625" style="449"/>
    <col min="7969" max="7969" width="22.453125" style="449" bestFit="1" customWidth="1"/>
    <col min="7970" max="7970" width="22.1796875" style="449" bestFit="1" customWidth="1"/>
    <col min="7971" max="7972" width="17.453125" style="449" customWidth="1"/>
    <col min="7973" max="7973" width="18.1796875" style="449" customWidth="1"/>
    <col min="7974" max="8151" width="8.81640625" style="449"/>
    <col min="8152" max="8152" width="1.453125" style="449" customWidth="1"/>
    <col min="8153" max="8153" width="51.453125" style="449" customWidth="1"/>
    <col min="8154" max="8154" width="12.453125" style="449" customWidth="1"/>
    <col min="8155" max="8155" width="21.453125" style="449" bestFit="1" customWidth="1"/>
    <col min="8156" max="8156" width="12.453125" style="449" customWidth="1"/>
    <col min="8157" max="8157" width="14.453125" style="449" customWidth="1"/>
    <col min="8158" max="8158" width="15.1796875" style="449" customWidth="1"/>
    <col min="8159" max="8159" width="12.453125" style="449" bestFit="1" customWidth="1"/>
    <col min="8160" max="8160" width="13" style="449" customWidth="1"/>
    <col min="8161" max="8161" width="14.54296875" style="449" customWidth="1"/>
    <col min="8162" max="8162" width="44.453125" style="449" customWidth="1"/>
    <col min="8163" max="8163" width="34.54296875" style="449" customWidth="1"/>
    <col min="8164" max="8164" width="37.453125" style="449" customWidth="1"/>
    <col min="8165" max="8165" width="19.81640625" style="449" customWidth="1"/>
    <col min="8166" max="8190" width="8.81640625" style="449"/>
    <col min="8191" max="8191" width="9.54296875" style="449" customWidth="1"/>
    <col min="8192" max="8192" width="50.54296875" style="449" customWidth="1"/>
    <col min="8193" max="8193" width="14.81640625" style="449" customWidth="1"/>
    <col min="8194" max="8194" width="15.54296875" style="449" customWidth="1"/>
    <col min="8195" max="8195" width="8.54296875" style="449" bestFit="1" customWidth="1"/>
    <col min="8196" max="8196" width="21.1796875" style="449" customWidth="1"/>
    <col min="8197" max="8197" width="10.453125" style="449" customWidth="1"/>
    <col min="8198" max="8198" width="17.453125" style="449" customWidth="1"/>
    <col min="8199" max="8199" width="11.1796875" style="449" customWidth="1"/>
    <col min="8200" max="8200" width="17.453125" style="449" customWidth="1"/>
    <col min="8201" max="8201" width="9.453125" style="449" customWidth="1"/>
    <col min="8202" max="8202" width="17.453125" style="449" customWidth="1"/>
    <col min="8203" max="8203" width="10.453125" style="449" customWidth="1"/>
    <col min="8204" max="8204" width="19.453125" style="449" customWidth="1"/>
    <col min="8205" max="8205" width="17.453125" style="449" customWidth="1"/>
    <col min="8206" max="8206" width="43.81640625" style="449" customWidth="1"/>
    <col min="8207" max="8207" width="10.453125" style="449" customWidth="1"/>
    <col min="8208" max="8208" width="13.453125" style="449" customWidth="1"/>
    <col min="8209" max="8210" width="21.453125" style="449" customWidth="1"/>
    <col min="8211" max="8212" width="22" style="449" customWidth="1"/>
    <col min="8213" max="8213" width="22.453125" style="449" bestFit="1" customWidth="1"/>
    <col min="8214" max="8214" width="22.453125" style="449" customWidth="1"/>
    <col min="8215" max="8215" width="22.81640625" style="449" bestFit="1" customWidth="1"/>
    <col min="8216" max="8216" width="22.81640625" style="449" customWidth="1"/>
    <col min="8217" max="8217" width="19.453125" style="449" customWidth="1"/>
    <col min="8218" max="8218" width="8.81640625" style="449"/>
    <col min="8219" max="8219" width="17.453125" style="449" bestFit="1" customWidth="1"/>
    <col min="8220" max="8220" width="16" style="449" customWidth="1"/>
    <col min="8221" max="8222" width="17.453125" style="449" customWidth="1"/>
    <col min="8223" max="8223" width="16.453125" style="449" customWidth="1"/>
    <col min="8224" max="8224" width="8.81640625" style="449"/>
    <col min="8225" max="8225" width="22.453125" style="449" bestFit="1" customWidth="1"/>
    <col min="8226" max="8226" width="22.1796875" style="449" bestFit="1" customWidth="1"/>
    <col min="8227" max="8228" width="17.453125" style="449" customWidth="1"/>
    <col min="8229" max="8229" width="18.1796875" style="449" customWidth="1"/>
    <col min="8230" max="8407" width="8.81640625" style="449"/>
    <col min="8408" max="8408" width="1.453125" style="449" customWidth="1"/>
    <col min="8409" max="8409" width="51.453125" style="449" customWidth="1"/>
    <col min="8410" max="8410" width="12.453125" style="449" customWidth="1"/>
    <col min="8411" max="8411" width="21.453125" style="449" bestFit="1" customWidth="1"/>
    <col min="8412" max="8412" width="12.453125" style="449" customWidth="1"/>
    <col min="8413" max="8413" width="14.453125" style="449" customWidth="1"/>
    <col min="8414" max="8414" width="15.1796875" style="449" customWidth="1"/>
    <col min="8415" max="8415" width="12.453125" style="449" bestFit="1" customWidth="1"/>
    <col min="8416" max="8416" width="13" style="449" customWidth="1"/>
    <col min="8417" max="8417" width="14.54296875" style="449" customWidth="1"/>
    <col min="8418" max="8418" width="44.453125" style="449" customWidth="1"/>
    <col min="8419" max="8419" width="34.54296875" style="449" customWidth="1"/>
    <col min="8420" max="8420" width="37.453125" style="449" customWidth="1"/>
    <col min="8421" max="8421" width="19.81640625" style="449" customWidth="1"/>
    <col min="8422" max="8446" width="8.81640625" style="449"/>
    <col min="8447" max="8447" width="9.54296875" style="449" customWidth="1"/>
    <col min="8448" max="8448" width="50.54296875" style="449" customWidth="1"/>
    <col min="8449" max="8449" width="14.81640625" style="449" customWidth="1"/>
    <col min="8450" max="8450" width="15.54296875" style="449" customWidth="1"/>
    <col min="8451" max="8451" width="8.54296875" style="449" bestFit="1" customWidth="1"/>
    <col min="8452" max="8452" width="21.1796875" style="449" customWidth="1"/>
    <col min="8453" max="8453" width="10.453125" style="449" customWidth="1"/>
    <col min="8454" max="8454" width="17.453125" style="449" customWidth="1"/>
    <col min="8455" max="8455" width="11.1796875" style="449" customWidth="1"/>
    <col min="8456" max="8456" width="17.453125" style="449" customWidth="1"/>
    <col min="8457" max="8457" width="9.453125" style="449" customWidth="1"/>
    <col min="8458" max="8458" width="17.453125" style="449" customWidth="1"/>
    <col min="8459" max="8459" width="10.453125" style="449" customWidth="1"/>
    <col min="8460" max="8460" width="19.453125" style="449" customWidth="1"/>
    <col min="8461" max="8461" width="17.453125" style="449" customWidth="1"/>
    <col min="8462" max="8462" width="43.81640625" style="449" customWidth="1"/>
    <col min="8463" max="8463" width="10.453125" style="449" customWidth="1"/>
    <col min="8464" max="8464" width="13.453125" style="449" customWidth="1"/>
    <col min="8465" max="8466" width="21.453125" style="449" customWidth="1"/>
    <col min="8467" max="8468" width="22" style="449" customWidth="1"/>
    <col min="8469" max="8469" width="22.453125" style="449" bestFit="1" customWidth="1"/>
    <col min="8470" max="8470" width="22.453125" style="449" customWidth="1"/>
    <col min="8471" max="8471" width="22.81640625" style="449" bestFit="1" customWidth="1"/>
    <col min="8472" max="8472" width="22.81640625" style="449" customWidth="1"/>
    <col min="8473" max="8473" width="19.453125" style="449" customWidth="1"/>
    <col min="8474" max="8474" width="8.81640625" style="449"/>
    <col min="8475" max="8475" width="17.453125" style="449" bestFit="1" customWidth="1"/>
    <col min="8476" max="8476" width="16" style="449" customWidth="1"/>
    <col min="8477" max="8478" width="17.453125" style="449" customWidth="1"/>
    <col min="8479" max="8479" width="16.453125" style="449" customWidth="1"/>
    <col min="8480" max="8480" width="8.81640625" style="449"/>
    <col min="8481" max="8481" width="22.453125" style="449" bestFit="1" customWidth="1"/>
    <col min="8482" max="8482" width="22.1796875" style="449" bestFit="1" customWidth="1"/>
    <col min="8483" max="8484" width="17.453125" style="449" customWidth="1"/>
    <col min="8485" max="8485" width="18.1796875" style="449" customWidth="1"/>
    <col min="8486" max="8663" width="8.81640625" style="449"/>
    <col min="8664" max="8664" width="1.453125" style="449" customWidth="1"/>
    <col min="8665" max="8665" width="51.453125" style="449" customWidth="1"/>
    <col min="8666" max="8666" width="12.453125" style="449" customWidth="1"/>
    <col min="8667" max="8667" width="21.453125" style="449" bestFit="1" customWidth="1"/>
    <col min="8668" max="8668" width="12.453125" style="449" customWidth="1"/>
    <col min="8669" max="8669" width="14.453125" style="449" customWidth="1"/>
    <col min="8670" max="8670" width="15.1796875" style="449" customWidth="1"/>
    <col min="8671" max="8671" width="12.453125" style="449" bestFit="1" customWidth="1"/>
    <col min="8672" max="8672" width="13" style="449" customWidth="1"/>
    <col min="8673" max="8673" width="14.54296875" style="449" customWidth="1"/>
    <col min="8674" max="8674" width="44.453125" style="449" customWidth="1"/>
    <col min="8675" max="8675" width="34.54296875" style="449" customWidth="1"/>
    <col min="8676" max="8676" width="37.453125" style="449" customWidth="1"/>
    <col min="8677" max="8677" width="19.81640625" style="449" customWidth="1"/>
    <col min="8678" max="8702" width="8.81640625" style="449"/>
    <col min="8703" max="8703" width="9.54296875" style="449" customWidth="1"/>
    <col min="8704" max="8704" width="50.54296875" style="449" customWidth="1"/>
    <col min="8705" max="8705" width="14.81640625" style="449" customWidth="1"/>
    <col min="8706" max="8706" width="15.54296875" style="449" customWidth="1"/>
    <col min="8707" max="8707" width="8.54296875" style="449" bestFit="1" customWidth="1"/>
    <col min="8708" max="8708" width="21.1796875" style="449" customWidth="1"/>
    <col min="8709" max="8709" width="10.453125" style="449" customWidth="1"/>
    <col min="8710" max="8710" width="17.453125" style="449" customWidth="1"/>
    <col min="8711" max="8711" width="11.1796875" style="449" customWidth="1"/>
    <col min="8712" max="8712" width="17.453125" style="449" customWidth="1"/>
    <col min="8713" max="8713" width="9.453125" style="449" customWidth="1"/>
    <col min="8714" max="8714" width="17.453125" style="449" customWidth="1"/>
    <col min="8715" max="8715" width="10.453125" style="449" customWidth="1"/>
    <col min="8716" max="8716" width="19.453125" style="449" customWidth="1"/>
    <col min="8717" max="8717" width="17.453125" style="449" customWidth="1"/>
    <col min="8718" max="8718" width="43.81640625" style="449" customWidth="1"/>
    <col min="8719" max="8719" width="10.453125" style="449" customWidth="1"/>
    <col min="8720" max="8720" width="13.453125" style="449" customWidth="1"/>
    <col min="8721" max="8722" width="21.453125" style="449" customWidth="1"/>
    <col min="8723" max="8724" width="22" style="449" customWidth="1"/>
    <col min="8725" max="8725" width="22.453125" style="449" bestFit="1" customWidth="1"/>
    <col min="8726" max="8726" width="22.453125" style="449" customWidth="1"/>
    <col min="8727" max="8727" width="22.81640625" style="449" bestFit="1" customWidth="1"/>
    <col min="8728" max="8728" width="22.81640625" style="449" customWidth="1"/>
    <col min="8729" max="8729" width="19.453125" style="449" customWidth="1"/>
    <col min="8730" max="8730" width="8.81640625" style="449"/>
    <col min="8731" max="8731" width="17.453125" style="449" bestFit="1" customWidth="1"/>
    <col min="8732" max="8732" width="16" style="449" customWidth="1"/>
    <col min="8733" max="8734" width="17.453125" style="449" customWidth="1"/>
    <col min="8735" max="8735" width="16.453125" style="449" customWidth="1"/>
    <col min="8736" max="8736" width="8.81640625" style="449"/>
    <col min="8737" max="8737" width="22.453125" style="449" bestFit="1" customWidth="1"/>
    <col min="8738" max="8738" width="22.1796875" style="449" bestFit="1" customWidth="1"/>
    <col min="8739" max="8740" width="17.453125" style="449" customWidth="1"/>
    <col min="8741" max="8741" width="18.1796875" style="449" customWidth="1"/>
    <col min="8742" max="8919" width="8.81640625" style="449"/>
    <col min="8920" max="8920" width="1.453125" style="449" customWidth="1"/>
    <col min="8921" max="8921" width="51.453125" style="449" customWidth="1"/>
    <col min="8922" max="8922" width="12.453125" style="449" customWidth="1"/>
    <col min="8923" max="8923" width="21.453125" style="449" bestFit="1" customWidth="1"/>
    <col min="8924" max="8924" width="12.453125" style="449" customWidth="1"/>
    <col min="8925" max="8925" width="14.453125" style="449" customWidth="1"/>
    <col min="8926" max="8926" width="15.1796875" style="449" customWidth="1"/>
    <col min="8927" max="8927" width="12.453125" style="449" bestFit="1" customWidth="1"/>
    <col min="8928" max="8928" width="13" style="449" customWidth="1"/>
    <col min="8929" max="8929" width="14.54296875" style="449" customWidth="1"/>
    <col min="8930" max="8930" width="44.453125" style="449" customWidth="1"/>
    <col min="8931" max="8931" width="34.54296875" style="449" customWidth="1"/>
    <col min="8932" max="8932" width="37.453125" style="449" customWidth="1"/>
    <col min="8933" max="8933" width="19.81640625" style="449" customWidth="1"/>
    <col min="8934" max="8958" width="8.81640625" style="449"/>
    <col min="8959" max="8959" width="9.54296875" style="449" customWidth="1"/>
    <col min="8960" max="8960" width="50.54296875" style="449" customWidth="1"/>
    <col min="8961" max="8961" width="14.81640625" style="449" customWidth="1"/>
    <col min="8962" max="8962" width="15.54296875" style="449" customWidth="1"/>
    <col min="8963" max="8963" width="8.54296875" style="449" bestFit="1" customWidth="1"/>
    <col min="8964" max="8964" width="21.1796875" style="449" customWidth="1"/>
    <col min="8965" max="8965" width="10.453125" style="449" customWidth="1"/>
    <col min="8966" max="8966" width="17.453125" style="449" customWidth="1"/>
    <col min="8967" max="8967" width="11.1796875" style="449" customWidth="1"/>
    <col min="8968" max="8968" width="17.453125" style="449" customWidth="1"/>
    <col min="8969" max="8969" width="9.453125" style="449" customWidth="1"/>
    <col min="8970" max="8970" width="17.453125" style="449" customWidth="1"/>
    <col min="8971" max="8971" width="10.453125" style="449" customWidth="1"/>
    <col min="8972" max="8972" width="19.453125" style="449" customWidth="1"/>
    <col min="8973" max="8973" width="17.453125" style="449" customWidth="1"/>
    <col min="8974" max="8974" width="43.81640625" style="449" customWidth="1"/>
    <col min="8975" max="8975" width="10.453125" style="449" customWidth="1"/>
    <col min="8976" max="8976" width="13.453125" style="449" customWidth="1"/>
    <col min="8977" max="8978" width="21.453125" style="449" customWidth="1"/>
    <col min="8979" max="8980" width="22" style="449" customWidth="1"/>
    <col min="8981" max="8981" width="22.453125" style="449" bestFit="1" customWidth="1"/>
    <col min="8982" max="8982" width="22.453125" style="449" customWidth="1"/>
    <col min="8983" max="8983" width="22.81640625" style="449" bestFit="1" customWidth="1"/>
    <col min="8984" max="8984" width="22.81640625" style="449" customWidth="1"/>
    <col min="8985" max="8985" width="19.453125" style="449" customWidth="1"/>
    <col min="8986" max="8986" width="8.81640625" style="449"/>
    <col min="8987" max="8987" width="17.453125" style="449" bestFit="1" customWidth="1"/>
    <col min="8988" max="8988" width="16" style="449" customWidth="1"/>
    <col min="8989" max="8990" width="17.453125" style="449" customWidth="1"/>
    <col min="8991" max="8991" width="16.453125" style="449" customWidth="1"/>
    <col min="8992" max="8992" width="8.81640625" style="449"/>
    <col min="8993" max="8993" width="22.453125" style="449" bestFit="1" customWidth="1"/>
    <col min="8994" max="8994" width="22.1796875" style="449" bestFit="1" customWidth="1"/>
    <col min="8995" max="8996" width="17.453125" style="449" customWidth="1"/>
    <col min="8997" max="8997" width="18.1796875" style="449" customWidth="1"/>
    <col min="8998" max="9175" width="8.81640625" style="449"/>
    <col min="9176" max="9176" width="1.453125" style="449" customWidth="1"/>
    <col min="9177" max="9177" width="51.453125" style="449" customWidth="1"/>
    <col min="9178" max="9178" width="12.453125" style="449" customWidth="1"/>
    <col min="9179" max="9179" width="21.453125" style="449" bestFit="1" customWidth="1"/>
    <col min="9180" max="9180" width="12.453125" style="449" customWidth="1"/>
    <col min="9181" max="9181" width="14.453125" style="449" customWidth="1"/>
    <col min="9182" max="9182" width="15.1796875" style="449" customWidth="1"/>
    <col min="9183" max="9183" width="12.453125" style="449" bestFit="1" customWidth="1"/>
    <col min="9184" max="9184" width="13" style="449" customWidth="1"/>
    <col min="9185" max="9185" width="14.54296875" style="449" customWidth="1"/>
    <col min="9186" max="9186" width="44.453125" style="449" customWidth="1"/>
    <col min="9187" max="9187" width="34.54296875" style="449" customWidth="1"/>
    <col min="9188" max="9188" width="37.453125" style="449" customWidth="1"/>
    <col min="9189" max="9189" width="19.81640625" style="449" customWidth="1"/>
    <col min="9190" max="9214" width="8.81640625" style="449"/>
    <col min="9215" max="9215" width="9.54296875" style="449" customWidth="1"/>
    <col min="9216" max="9216" width="50.54296875" style="449" customWidth="1"/>
    <col min="9217" max="9217" width="14.81640625" style="449" customWidth="1"/>
    <col min="9218" max="9218" width="15.54296875" style="449" customWidth="1"/>
    <col min="9219" max="9219" width="8.54296875" style="449" bestFit="1" customWidth="1"/>
    <col min="9220" max="9220" width="21.1796875" style="449" customWidth="1"/>
    <col min="9221" max="9221" width="10.453125" style="449" customWidth="1"/>
    <col min="9222" max="9222" width="17.453125" style="449" customWidth="1"/>
    <col min="9223" max="9223" width="11.1796875" style="449" customWidth="1"/>
    <col min="9224" max="9224" width="17.453125" style="449" customWidth="1"/>
    <col min="9225" max="9225" width="9.453125" style="449" customWidth="1"/>
    <col min="9226" max="9226" width="17.453125" style="449" customWidth="1"/>
    <col min="9227" max="9227" width="10.453125" style="449" customWidth="1"/>
    <col min="9228" max="9228" width="19.453125" style="449" customWidth="1"/>
    <col min="9229" max="9229" width="17.453125" style="449" customWidth="1"/>
    <col min="9230" max="9230" width="43.81640625" style="449" customWidth="1"/>
    <col min="9231" max="9231" width="10.453125" style="449" customWidth="1"/>
    <col min="9232" max="9232" width="13.453125" style="449" customWidth="1"/>
    <col min="9233" max="9234" width="21.453125" style="449" customWidth="1"/>
    <col min="9235" max="9236" width="22" style="449" customWidth="1"/>
    <col min="9237" max="9237" width="22.453125" style="449" bestFit="1" customWidth="1"/>
    <col min="9238" max="9238" width="22.453125" style="449" customWidth="1"/>
    <col min="9239" max="9239" width="22.81640625" style="449" bestFit="1" customWidth="1"/>
    <col min="9240" max="9240" width="22.81640625" style="449" customWidth="1"/>
    <col min="9241" max="9241" width="19.453125" style="449" customWidth="1"/>
    <col min="9242" max="9242" width="8.81640625" style="449"/>
    <col min="9243" max="9243" width="17.453125" style="449" bestFit="1" customWidth="1"/>
    <col min="9244" max="9244" width="16" style="449" customWidth="1"/>
    <col min="9245" max="9246" width="17.453125" style="449" customWidth="1"/>
    <col min="9247" max="9247" width="16.453125" style="449" customWidth="1"/>
    <col min="9248" max="9248" width="8.81640625" style="449"/>
    <col min="9249" max="9249" width="22.453125" style="449" bestFit="1" customWidth="1"/>
    <col min="9250" max="9250" width="22.1796875" style="449" bestFit="1" customWidth="1"/>
    <col min="9251" max="9252" width="17.453125" style="449" customWidth="1"/>
    <col min="9253" max="9253" width="18.1796875" style="449" customWidth="1"/>
    <col min="9254" max="9431" width="8.81640625" style="449"/>
    <col min="9432" max="9432" width="1.453125" style="449" customWidth="1"/>
    <col min="9433" max="9433" width="51.453125" style="449" customWidth="1"/>
    <col min="9434" max="9434" width="12.453125" style="449" customWidth="1"/>
    <col min="9435" max="9435" width="21.453125" style="449" bestFit="1" customWidth="1"/>
    <col min="9436" max="9436" width="12.453125" style="449" customWidth="1"/>
    <col min="9437" max="9437" width="14.453125" style="449" customWidth="1"/>
    <col min="9438" max="9438" width="15.1796875" style="449" customWidth="1"/>
    <col min="9439" max="9439" width="12.453125" style="449" bestFit="1" customWidth="1"/>
    <col min="9440" max="9440" width="13" style="449" customWidth="1"/>
    <col min="9441" max="9441" width="14.54296875" style="449" customWidth="1"/>
    <col min="9442" max="9442" width="44.453125" style="449" customWidth="1"/>
    <col min="9443" max="9443" width="34.54296875" style="449" customWidth="1"/>
    <col min="9444" max="9444" width="37.453125" style="449" customWidth="1"/>
    <col min="9445" max="9445" width="19.81640625" style="449" customWidth="1"/>
    <col min="9446" max="9470" width="8.81640625" style="449"/>
    <col min="9471" max="9471" width="9.54296875" style="449" customWidth="1"/>
    <col min="9472" max="9472" width="50.54296875" style="449" customWidth="1"/>
    <col min="9473" max="9473" width="14.81640625" style="449" customWidth="1"/>
    <col min="9474" max="9474" width="15.54296875" style="449" customWidth="1"/>
    <col min="9475" max="9475" width="8.54296875" style="449" bestFit="1" customWidth="1"/>
    <col min="9476" max="9476" width="21.1796875" style="449" customWidth="1"/>
    <col min="9477" max="9477" width="10.453125" style="449" customWidth="1"/>
    <col min="9478" max="9478" width="17.453125" style="449" customWidth="1"/>
    <col min="9479" max="9479" width="11.1796875" style="449" customWidth="1"/>
    <col min="9480" max="9480" width="17.453125" style="449" customWidth="1"/>
    <col min="9481" max="9481" width="9.453125" style="449" customWidth="1"/>
    <col min="9482" max="9482" width="17.453125" style="449" customWidth="1"/>
    <col min="9483" max="9483" width="10.453125" style="449" customWidth="1"/>
    <col min="9484" max="9484" width="19.453125" style="449" customWidth="1"/>
    <col min="9485" max="9485" width="17.453125" style="449" customWidth="1"/>
    <col min="9486" max="9486" width="43.81640625" style="449" customWidth="1"/>
    <col min="9487" max="9487" width="10.453125" style="449" customWidth="1"/>
    <col min="9488" max="9488" width="13.453125" style="449" customWidth="1"/>
    <col min="9489" max="9490" width="21.453125" style="449" customWidth="1"/>
    <col min="9491" max="9492" width="22" style="449" customWidth="1"/>
    <col min="9493" max="9493" width="22.453125" style="449" bestFit="1" customWidth="1"/>
    <col min="9494" max="9494" width="22.453125" style="449" customWidth="1"/>
    <col min="9495" max="9495" width="22.81640625" style="449" bestFit="1" customWidth="1"/>
    <col min="9496" max="9496" width="22.81640625" style="449" customWidth="1"/>
    <col min="9497" max="9497" width="19.453125" style="449" customWidth="1"/>
    <col min="9498" max="9498" width="8.81640625" style="449"/>
    <col min="9499" max="9499" width="17.453125" style="449" bestFit="1" customWidth="1"/>
    <col min="9500" max="9500" width="16" style="449" customWidth="1"/>
    <col min="9501" max="9502" width="17.453125" style="449" customWidth="1"/>
    <col min="9503" max="9503" width="16.453125" style="449" customWidth="1"/>
    <col min="9504" max="9504" width="8.81640625" style="449"/>
    <col min="9505" max="9505" width="22.453125" style="449" bestFit="1" customWidth="1"/>
    <col min="9506" max="9506" width="22.1796875" style="449" bestFit="1" customWidth="1"/>
    <col min="9507" max="9508" width="17.453125" style="449" customWidth="1"/>
    <col min="9509" max="9509" width="18.1796875" style="449" customWidth="1"/>
    <col min="9510" max="9687" width="8.81640625" style="449"/>
    <col min="9688" max="9688" width="1.453125" style="449" customWidth="1"/>
    <col min="9689" max="9689" width="51.453125" style="449" customWidth="1"/>
    <col min="9690" max="9690" width="12.453125" style="449" customWidth="1"/>
    <col min="9691" max="9691" width="21.453125" style="449" bestFit="1" customWidth="1"/>
    <col min="9692" max="9692" width="12.453125" style="449" customWidth="1"/>
    <col min="9693" max="9693" width="14.453125" style="449" customWidth="1"/>
    <col min="9694" max="9694" width="15.1796875" style="449" customWidth="1"/>
    <col min="9695" max="9695" width="12.453125" style="449" bestFit="1" customWidth="1"/>
    <col min="9696" max="9696" width="13" style="449" customWidth="1"/>
    <col min="9697" max="9697" width="14.54296875" style="449" customWidth="1"/>
    <col min="9698" max="9698" width="44.453125" style="449" customWidth="1"/>
    <col min="9699" max="9699" width="34.54296875" style="449" customWidth="1"/>
    <col min="9700" max="9700" width="37.453125" style="449" customWidth="1"/>
    <col min="9701" max="9701" width="19.81640625" style="449" customWidth="1"/>
    <col min="9702" max="9726" width="8.81640625" style="449"/>
    <col min="9727" max="9727" width="9.54296875" style="449" customWidth="1"/>
    <col min="9728" max="9728" width="50.54296875" style="449" customWidth="1"/>
    <col min="9729" max="9729" width="14.81640625" style="449" customWidth="1"/>
    <col min="9730" max="9730" width="15.54296875" style="449" customWidth="1"/>
    <col min="9731" max="9731" width="8.54296875" style="449" bestFit="1" customWidth="1"/>
    <col min="9732" max="9732" width="21.1796875" style="449" customWidth="1"/>
    <col min="9733" max="9733" width="10.453125" style="449" customWidth="1"/>
    <col min="9734" max="9734" width="17.453125" style="449" customWidth="1"/>
    <col min="9735" max="9735" width="11.1796875" style="449" customWidth="1"/>
    <col min="9736" max="9736" width="17.453125" style="449" customWidth="1"/>
    <col min="9737" max="9737" width="9.453125" style="449" customWidth="1"/>
    <col min="9738" max="9738" width="17.453125" style="449" customWidth="1"/>
    <col min="9739" max="9739" width="10.453125" style="449" customWidth="1"/>
    <col min="9740" max="9740" width="19.453125" style="449" customWidth="1"/>
    <col min="9741" max="9741" width="17.453125" style="449" customWidth="1"/>
    <col min="9742" max="9742" width="43.81640625" style="449" customWidth="1"/>
    <col min="9743" max="9743" width="10.453125" style="449" customWidth="1"/>
    <col min="9744" max="9744" width="13.453125" style="449" customWidth="1"/>
    <col min="9745" max="9746" width="21.453125" style="449" customWidth="1"/>
    <col min="9747" max="9748" width="22" style="449" customWidth="1"/>
    <col min="9749" max="9749" width="22.453125" style="449" bestFit="1" customWidth="1"/>
    <col min="9750" max="9750" width="22.453125" style="449" customWidth="1"/>
    <col min="9751" max="9751" width="22.81640625" style="449" bestFit="1" customWidth="1"/>
    <col min="9752" max="9752" width="22.81640625" style="449" customWidth="1"/>
    <col min="9753" max="9753" width="19.453125" style="449" customWidth="1"/>
    <col min="9754" max="9754" width="8.81640625" style="449"/>
    <col min="9755" max="9755" width="17.453125" style="449" bestFit="1" customWidth="1"/>
    <col min="9756" max="9756" width="16" style="449" customWidth="1"/>
    <col min="9757" max="9758" width="17.453125" style="449" customWidth="1"/>
    <col min="9759" max="9759" width="16.453125" style="449" customWidth="1"/>
    <col min="9760" max="9760" width="8.81640625" style="449"/>
    <col min="9761" max="9761" width="22.453125" style="449" bestFit="1" customWidth="1"/>
    <col min="9762" max="9762" width="22.1796875" style="449" bestFit="1" customWidth="1"/>
    <col min="9763" max="9764" width="17.453125" style="449" customWidth="1"/>
    <col min="9765" max="9765" width="18.1796875" style="449" customWidth="1"/>
    <col min="9766" max="9943" width="8.81640625" style="449"/>
    <col min="9944" max="9944" width="1.453125" style="449" customWidth="1"/>
    <col min="9945" max="9945" width="51.453125" style="449" customWidth="1"/>
    <col min="9946" max="9946" width="12.453125" style="449" customWidth="1"/>
    <col min="9947" max="9947" width="21.453125" style="449" bestFit="1" customWidth="1"/>
    <col min="9948" max="9948" width="12.453125" style="449" customWidth="1"/>
    <col min="9949" max="9949" width="14.453125" style="449" customWidth="1"/>
    <col min="9950" max="9950" width="15.1796875" style="449" customWidth="1"/>
    <col min="9951" max="9951" width="12.453125" style="449" bestFit="1" customWidth="1"/>
    <col min="9952" max="9952" width="13" style="449" customWidth="1"/>
    <col min="9953" max="9953" width="14.54296875" style="449" customWidth="1"/>
    <col min="9954" max="9954" width="44.453125" style="449" customWidth="1"/>
    <col min="9955" max="9955" width="34.54296875" style="449" customWidth="1"/>
    <col min="9956" max="9956" width="37.453125" style="449" customWidth="1"/>
    <col min="9957" max="9957" width="19.81640625" style="449" customWidth="1"/>
    <col min="9958" max="9982" width="8.81640625" style="449"/>
    <col min="9983" max="9983" width="9.54296875" style="449" customWidth="1"/>
    <col min="9984" max="9984" width="50.54296875" style="449" customWidth="1"/>
    <col min="9985" max="9985" width="14.81640625" style="449" customWidth="1"/>
    <col min="9986" max="9986" width="15.54296875" style="449" customWidth="1"/>
    <col min="9987" max="9987" width="8.54296875" style="449" bestFit="1" customWidth="1"/>
    <col min="9988" max="9988" width="21.1796875" style="449" customWidth="1"/>
    <col min="9989" max="9989" width="10.453125" style="449" customWidth="1"/>
    <col min="9990" max="9990" width="17.453125" style="449" customWidth="1"/>
    <col min="9991" max="9991" width="11.1796875" style="449" customWidth="1"/>
    <col min="9992" max="9992" width="17.453125" style="449" customWidth="1"/>
    <col min="9993" max="9993" width="9.453125" style="449" customWidth="1"/>
    <col min="9994" max="9994" width="17.453125" style="449" customWidth="1"/>
    <col min="9995" max="9995" width="10.453125" style="449" customWidth="1"/>
    <col min="9996" max="9996" width="19.453125" style="449" customWidth="1"/>
    <col min="9997" max="9997" width="17.453125" style="449" customWidth="1"/>
    <col min="9998" max="9998" width="43.81640625" style="449" customWidth="1"/>
    <col min="9999" max="9999" width="10.453125" style="449" customWidth="1"/>
    <col min="10000" max="10000" width="13.453125" style="449" customWidth="1"/>
    <col min="10001" max="10002" width="21.453125" style="449" customWidth="1"/>
    <col min="10003" max="10004" width="22" style="449" customWidth="1"/>
    <col min="10005" max="10005" width="22.453125" style="449" bestFit="1" customWidth="1"/>
    <col min="10006" max="10006" width="22.453125" style="449" customWidth="1"/>
    <col min="10007" max="10007" width="22.81640625" style="449" bestFit="1" customWidth="1"/>
    <col min="10008" max="10008" width="22.81640625" style="449" customWidth="1"/>
    <col min="10009" max="10009" width="19.453125" style="449" customWidth="1"/>
    <col min="10010" max="10010" width="8.81640625" style="449"/>
    <col min="10011" max="10011" width="17.453125" style="449" bestFit="1" customWidth="1"/>
    <col min="10012" max="10012" width="16" style="449" customWidth="1"/>
    <col min="10013" max="10014" width="17.453125" style="449" customWidth="1"/>
    <col min="10015" max="10015" width="16.453125" style="449" customWidth="1"/>
    <col min="10016" max="10016" width="8.81640625" style="449"/>
    <col min="10017" max="10017" width="22.453125" style="449" bestFit="1" customWidth="1"/>
    <col min="10018" max="10018" width="22.1796875" style="449" bestFit="1" customWidth="1"/>
    <col min="10019" max="10020" width="17.453125" style="449" customWidth="1"/>
    <col min="10021" max="10021" width="18.1796875" style="449" customWidth="1"/>
    <col min="10022" max="10199" width="8.81640625" style="449"/>
    <col min="10200" max="10200" width="1.453125" style="449" customWidth="1"/>
    <col min="10201" max="10201" width="51.453125" style="449" customWidth="1"/>
    <col min="10202" max="10202" width="12.453125" style="449" customWidth="1"/>
    <col min="10203" max="10203" width="21.453125" style="449" bestFit="1" customWidth="1"/>
    <col min="10204" max="10204" width="12.453125" style="449" customWidth="1"/>
    <col min="10205" max="10205" width="14.453125" style="449" customWidth="1"/>
    <col min="10206" max="10206" width="15.1796875" style="449" customWidth="1"/>
    <col min="10207" max="10207" width="12.453125" style="449" bestFit="1" customWidth="1"/>
    <col min="10208" max="10208" width="13" style="449" customWidth="1"/>
    <col min="10209" max="10209" width="14.54296875" style="449" customWidth="1"/>
    <col min="10210" max="10210" width="44.453125" style="449" customWidth="1"/>
    <col min="10211" max="10211" width="34.54296875" style="449" customWidth="1"/>
    <col min="10212" max="10212" width="37.453125" style="449" customWidth="1"/>
    <col min="10213" max="10213" width="19.81640625" style="449" customWidth="1"/>
    <col min="10214" max="10238" width="8.81640625" style="449"/>
    <col min="10239" max="10239" width="9.54296875" style="449" customWidth="1"/>
    <col min="10240" max="10240" width="50.54296875" style="449" customWidth="1"/>
    <col min="10241" max="10241" width="14.81640625" style="449" customWidth="1"/>
    <col min="10242" max="10242" width="15.54296875" style="449" customWidth="1"/>
    <col min="10243" max="10243" width="8.54296875" style="449" bestFit="1" customWidth="1"/>
    <col min="10244" max="10244" width="21.1796875" style="449" customWidth="1"/>
    <col min="10245" max="10245" width="10.453125" style="449" customWidth="1"/>
    <col min="10246" max="10246" width="17.453125" style="449" customWidth="1"/>
    <col min="10247" max="10247" width="11.1796875" style="449" customWidth="1"/>
    <col min="10248" max="10248" width="17.453125" style="449" customWidth="1"/>
    <col min="10249" max="10249" width="9.453125" style="449" customWidth="1"/>
    <col min="10250" max="10250" width="17.453125" style="449" customWidth="1"/>
    <col min="10251" max="10251" width="10.453125" style="449" customWidth="1"/>
    <col min="10252" max="10252" width="19.453125" style="449" customWidth="1"/>
    <col min="10253" max="10253" width="17.453125" style="449" customWidth="1"/>
    <col min="10254" max="10254" width="43.81640625" style="449" customWidth="1"/>
    <col min="10255" max="10255" width="10.453125" style="449" customWidth="1"/>
    <col min="10256" max="10256" width="13.453125" style="449" customWidth="1"/>
    <col min="10257" max="10258" width="21.453125" style="449" customWidth="1"/>
    <col min="10259" max="10260" width="22" style="449" customWidth="1"/>
    <col min="10261" max="10261" width="22.453125" style="449" bestFit="1" customWidth="1"/>
    <col min="10262" max="10262" width="22.453125" style="449" customWidth="1"/>
    <col min="10263" max="10263" width="22.81640625" style="449" bestFit="1" customWidth="1"/>
    <col min="10264" max="10264" width="22.81640625" style="449" customWidth="1"/>
    <col min="10265" max="10265" width="19.453125" style="449" customWidth="1"/>
    <col min="10266" max="10266" width="8.81640625" style="449"/>
    <col min="10267" max="10267" width="17.453125" style="449" bestFit="1" customWidth="1"/>
    <col min="10268" max="10268" width="16" style="449" customWidth="1"/>
    <col min="10269" max="10270" width="17.453125" style="449" customWidth="1"/>
    <col min="10271" max="10271" width="16.453125" style="449" customWidth="1"/>
    <col min="10272" max="10272" width="8.81640625" style="449"/>
    <col min="10273" max="10273" width="22.453125" style="449" bestFit="1" customWidth="1"/>
    <col min="10274" max="10274" width="22.1796875" style="449" bestFit="1" customWidth="1"/>
    <col min="10275" max="10276" width="17.453125" style="449" customWidth="1"/>
    <col min="10277" max="10277" width="18.1796875" style="449" customWidth="1"/>
    <col min="10278" max="10455" width="8.81640625" style="449"/>
    <col min="10456" max="10456" width="1.453125" style="449" customWidth="1"/>
    <col min="10457" max="10457" width="51.453125" style="449" customWidth="1"/>
    <col min="10458" max="10458" width="12.453125" style="449" customWidth="1"/>
    <col min="10459" max="10459" width="21.453125" style="449" bestFit="1" customWidth="1"/>
    <col min="10460" max="10460" width="12.453125" style="449" customWidth="1"/>
    <col min="10461" max="10461" width="14.453125" style="449" customWidth="1"/>
    <col min="10462" max="10462" width="15.1796875" style="449" customWidth="1"/>
    <col min="10463" max="10463" width="12.453125" style="449" bestFit="1" customWidth="1"/>
    <col min="10464" max="10464" width="13" style="449" customWidth="1"/>
    <col min="10465" max="10465" width="14.54296875" style="449" customWidth="1"/>
    <col min="10466" max="10466" width="44.453125" style="449" customWidth="1"/>
    <col min="10467" max="10467" width="34.54296875" style="449" customWidth="1"/>
    <col min="10468" max="10468" width="37.453125" style="449" customWidth="1"/>
    <col min="10469" max="10469" width="19.81640625" style="449" customWidth="1"/>
    <col min="10470" max="10494" width="8.81640625" style="449"/>
    <col min="10495" max="10495" width="9.54296875" style="449" customWidth="1"/>
    <col min="10496" max="10496" width="50.54296875" style="449" customWidth="1"/>
    <col min="10497" max="10497" width="14.81640625" style="449" customWidth="1"/>
    <col min="10498" max="10498" width="15.54296875" style="449" customWidth="1"/>
    <col min="10499" max="10499" width="8.54296875" style="449" bestFit="1" customWidth="1"/>
    <col min="10500" max="10500" width="21.1796875" style="449" customWidth="1"/>
    <col min="10501" max="10501" width="10.453125" style="449" customWidth="1"/>
    <col min="10502" max="10502" width="17.453125" style="449" customWidth="1"/>
    <col min="10503" max="10503" width="11.1796875" style="449" customWidth="1"/>
    <col min="10504" max="10504" width="17.453125" style="449" customWidth="1"/>
    <col min="10505" max="10505" width="9.453125" style="449" customWidth="1"/>
    <col min="10506" max="10506" width="17.453125" style="449" customWidth="1"/>
    <col min="10507" max="10507" width="10.453125" style="449" customWidth="1"/>
    <col min="10508" max="10508" width="19.453125" style="449" customWidth="1"/>
    <col min="10509" max="10509" width="17.453125" style="449" customWidth="1"/>
    <col min="10510" max="10510" width="43.81640625" style="449" customWidth="1"/>
    <col min="10511" max="10511" width="10.453125" style="449" customWidth="1"/>
    <col min="10512" max="10512" width="13.453125" style="449" customWidth="1"/>
    <col min="10513" max="10514" width="21.453125" style="449" customWidth="1"/>
    <col min="10515" max="10516" width="22" style="449" customWidth="1"/>
    <col min="10517" max="10517" width="22.453125" style="449" bestFit="1" customWidth="1"/>
    <col min="10518" max="10518" width="22.453125" style="449" customWidth="1"/>
    <col min="10519" max="10519" width="22.81640625" style="449" bestFit="1" customWidth="1"/>
    <col min="10520" max="10520" width="22.81640625" style="449" customWidth="1"/>
    <col min="10521" max="10521" width="19.453125" style="449" customWidth="1"/>
    <col min="10522" max="10522" width="8.81640625" style="449"/>
    <col min="10523" max="10523" width="17.453125" style="449" bestFit="1" customWidth="1"/>
    <col min="10524" max="10524" width="16" style="449" customWidth="1"/>
    <col min="10525" max="10526" width="17.453125" style="449" customWidth="1"/>
    <col min="10527" max="10527" width="16.453125" style="449" customWidth="1"/>
    <col min="10528" max="10528" width="8.81640625" style="449"/>
    <col min="10529" max="10529" width="22.453125" style="449" bestFit="1" customWidth="1"/>
    <col min="10530" max="10530" width="22.1796875" style="449" bestFit="1" customWidth="1"/>
    <col min="10531" max="10532" width="17.453125" style="449" customWidth="1"/>
    <col min="10533" max="10533" width="18.1796875" style="449" customWidth="1"/>
    <col min="10534" max="10711" width="8.81640625" style="449"/>
    <col min="10712" max="10712" width="1.453125" style="449" customWidth="1"/>
    <col min="10713" max="10713" width="51.453125" style="449" customWidth="1"/>
    <col min="10714" max="10714" width="12.453125" style="449" customWidth="1"/>
    <col min="10715" max="10715" width="21.453125" style="449" bestFit="1" customWidth="1"/>
    <col min="10716" max="10716" width="12.453125" style="449" customWidth="1"/>
    <col min="10717" max="10717" width="14.453125" style="449" customWidth="1"/>
    <col min="10718" max="10718" width="15.1796875" style="449" customWidth="1"/>
    <col min="10719" max="10719" width="12.453125" style="449" bestFit="1" customWidth="1"/>
    <col min="10720" max="10720" width="13" style="449" customWidth="1"/>
    <col min="10721" max="10721" width="14.54296875" style="449" customWidth="1"/>
    <col min="10722" max="10722" width="44.453125" style="449" customWidth="1"/>
    <col min="10723" max="10723" width="34.54296875" style="449" customWidth="1"/>
    <col min="10724" max="10724" width="37.453125" style="449" customWidth="1"/>
    <col min="10725" max="10725" width="19.81640625" style="449" customWidth="1"/>
    <col min="10726" max="10750" width="8.81640625" style="449"/>
    <col min="10751" max="10751" width="9.54296875" style="449" customWidth="1"/>
    <col min="10752" max="10752" width="50.54296875" style="449" customWidth="1"/>
    <col min="10753" max="10753" width="14.81640625" style="449" customWidth="1"/>
    <col min="10754" max="10754" width="15.54296875" style="449" customWidth="1"/>
    <col min="10755" max="10755" width="8.54296875" style="449" bestFit="1" customWidth="1"/>
    <col min="10756" max="10756" width="21.1796875" style="449" customWidth="1"/>
    <col min="10757" max="10757" width="10.453125" style="449" customWidth="1"/>
    <col min="10758" max="10758" width="17.453125" style="449" customWidth="1"/>
    <col min="10759" max="10759" width="11.1796875" style="449" customWidth="1"/>
    <col min="10760" max="10760" width="17.453125" style="449" customWidth="1"/>
    <col min="10761" max="10761" width="9.453125" style="449" customWidth="1"/>
    <col min="10762" max="10762" width="17.453125" style="449" customWidth="1"/>
    <col min="10763" max="10763" width="10.453125" style="449" customWidth="1"/>
    <col min="10764" max="10764" width="19.453125" style="449" customWidth="1"/>
    <col min="10765" max="10765" width="17.453125" style="449" customWidth="1"/>
    <col min="10766" max="10766" width="43.81640625" style="449" customWidth="1"/>
    <col min="10767" max="10767" width="10.453125" style="449" customWidth="1"/>
    <col min="10768" max="10768" width="13.453125" style="449" customWidth="1"/>
    <col min="10769" max="10770" width="21.453125" style="449" customWidth="1"/>
    <col min="10771" max="10772" width="22" style="449" customWidth="1"/>
    <col min="10773" max="10773" width="22.453125" style="449" bestFit="1" customWidth="1"/>
    <col min="10774" max="10774" width="22.453125" style="449" customWidth="1"/>
    <col min="10775" max="10775" width="22.81640625" style="449" bestFit="1" customWidth="1"/>
    <col min="10776" max="10776" width="22.81640625" style="449" customWidth="1"/>
    <col min="10777" max="10777" width="19.453125" style="449" customWidth="1"/>
    <col min="10778" max="10778" width="8.81640625" style="449"/>
    <col min="10779" max="10779" width="17.453125" style="449" bestFit="1" customWidth="1"/>
    <col min="10780" max="10780" width="16" style="449" customWidth="1"/>
    <col min="10781" max="10782" width="17.453125" style="449" customWidth="1"/>
    <col min="10783" max="10783" width="16.453125" style="449" customWidth="1"/>
    <col min="10784" max="10784" width="8.81640625" style="449"/>
    <col min="10785" max="10785" width="22.453125" style="449" bestFit="1" customWidth="1"/>
    <col min="10786" max="10786" width="22.1796875" style="449" bestFit="1" customWidth="1"/>
    <col min="10787" max="10788" width="17.453125" style="449" customWidth="1"/>
    <col min="10789" max="10789" width="18.1796875" style="449" customWidth="1"/>
    <col min="10790" max="10967" width="8.81640625" style="449"/>
    <col min="10968" max="10968" width="1.453125" style="449" customWidth="1"/>
    <col min="10969" max="10969" width="51.453125" style="449" customWidth="1"/>
    <col min="10970" max="10970" width="12.453125" style="449" customWidth="1"/>
    <col min="10971" max="10971" width="21.453125" style="449" bestFit="1" customWidth="1"/>
    <col min="10972" max="10972" width="12.453125" style="449" customWidth="1"/>
    <col min="10973" max="10973" width="14.453125" style="449" customWidth="1"/>
    <col min="10974" max="10974" width="15.1796875" style="449" customWidth="1"/>
    <col min="10975" max="10975" width="12.453125" style="449" bestFit="1" customWidth="1"/>
    <col min="10976" max="10976" width="13" style="449" customWidth="1"/>
    <col min="10977" max="10977" width="14.54296875" style="449" customWidth="1"/>
    <col min="10978" max="10978" width="44.453125" style="449" customWidth="1"/>
    <col min="10979" max="10979" width="34.54296875" style="449" customWidth="1"/>
    <col min="10980" max="10980" width="37.453125" style="449" customWidth="1"/>
    <col min="10981" max="10981" width="19.81640625" style="449" customWidth="1"/>
    <col min="10982" max="11006" width="8.81640625" style="449"/>
    <col min="11007" max="11007" width="9.54296875" style="449" customWidth="1"/>
    <col min="11008" max="11008" width="50.54296875" style="449" customWidth="1"/>
    <col min="11009" max="11009" width="14.81640625" style="449" customWidth="1"/>
    <col min="11010" max="11010" width="15.54296875" style="449" customWidth="1"/>
    <col min="11011" max="11011" width="8.54296875" style="449" bestFit="1" customWidth="1"/>
    <col min="11012" max="11012" width="21.1796875" style="449" customWidth="1"/>
    <col min="11013" max="11013" width="10.453125" style="449" customWidth="1"/>
    <col min="11014" max="11014" width="17.453125" style="449" customWidth="1"/>
    <col min="11015" max="11015" width="11.1796875" style="449" customWidth="1"/>
    <col min="11016" max="11016" width="17.453125" style="449" customWidth="1"/>
    <col min="11017" max="11017" width="9.453125" style="449" customWidth="1"/>
    <col min="11018" max="11018" width="17.453125" style="449" customWidth="1"/>
    <col min="11019" max="11019" width="10.453125" style="449" customWidth="1"/>
    <col min="11020" max="11020" width="19.453125" style="449" customWidth="1"/>
    <col min="11021" max="11021" width="17.453125" style="449" customWidth="1"/>
    <col min="11022" max="11022" width="43.81640625" style="449" customWidth="1"/>
    <col min="11023" max="11023" width="10.453125" style="449" customWidth="1"/>
    <col min="11024" max="11024" width="13.453125" style="449" customWidth="1"/>
    <col min="11025" max="11026" width="21.453125" style="449" customWidth="1"/>
    <col min="11027" max="11028" width="22" style="449" customWidth="1"/>
    <col min="11029" max="11029" width="22.453125" style="449" bestFit="1" customWidth="1"/>
    <col min="11030" max="11030" width="22.453125" style="449" customWidth="1"/>
    <col min="11031" max="11031" width="22.81640625" style="449" bestFit="1" customWidth="1"/>
    <col min="11032" max="11032" width="22.81640625" style="449" customWidth="1"/>
    <col min="11033" max="11033" width="19.453125" style="449" customWidth="1"/>
    <col min="11034" max="11034" width="8.81640625" style="449"/>
    <col min="11035" max="11035" width="17.453125" style="449" bestFit="1" customWidth="1"/>
    <col min="11036" max="11036" width="16" style="449" customWidth="1"/>
    <col min="11037" max="11038" width="17.453125" style="449" customWidth="1"/>
    <col min="11039" max="11039" width="16.453125" style="449" customWidth="1"/>
    <col min="11040" max="11040" width="8.81640625" style="449"/>
    <col min="11041" max="11041" width="22.453125" style="449" bestFit="1" customWidth="1"/>
    <col min="11042" max="11042" width="22.1796875" style="449" bestFit="1" customWidth="1"/>
    <col min="11043" max="11044" width="17.453125" style="449" customWidth="1"/>
    <col min="11045" max="11045" width="18.1796875" style="449" customWidth="1"/>
    <col min="11046" max="11223" width="8.81640625" style="449"/>
    <col min="11224" max="11224" width="1.453125" style="449" customWidth="1"/>
    <col min="11225" max="11225" width="51.453125" style="449" customWidth="1"/>
    <col min="11226" max="11226" width="12.453125" style="449" customWidth="1"/>
    <col min="11227" max="11227" width="21.453125" style="449" bestFit="1" customWidth="1"/>
    <col min="11228" max="11228" width="12.453125" style="449" customWidth="1"/>
    <col min="11229" max="11229" width="14.453125" style="449" customWidth="1"/>
    <col min="11230" max="11230" width="15.1796875" style="449" customWidth="1"/>
    <col min="11231" max="11231" width="12.453125" style="449" bestFit="1" customWidth="1"/>
    <col min="11232" max="11232" width="13" style="449" customWidth="1"/>
    <col min="11233" max="11233" width="14.54296875" style="449" customWidth="1"/>
    <col min="11234" max="11234" width="44.453125" style="449" customWidth="1"/>
    <col min="11235" max="11235" width="34.54296875" style="449" customWidth="1"/>
    <col min="11236" max="11236" width="37.453125" style="449" customWidth="1"/>
    <col min="11237" max="11237" width="19.81640625" style="449" customWidth="1"/>
    <col min="11238" max="11262" width="8.81640625" style="449"/>
    <col min="11263" max="11263" width="9.54296875" style="449" customWidth="1"/>
    <col min="11264" max="11264" width="50.54296875" style="449" customWidth="1"/>
    <col min="11265" max="11265" width="14.81640625" style="449" customWidth="1"/>
    <col min="11266" max="11266" width="15.54296875" style="449" customWidth="1"/>
    <col min="11267" max="11267" width="8.54296875" style="449" bestFit="1" customWidth="1"/>
    <col min="11268" max="11268" width="21.1796875" style="449" customWidth="1"/>
    <col min="11269" max="11269" width="10.453125" style="449" customWidth="1"/>
    <col min="11270" max="11270" width="17.453125" style="449" customWidth="1"/>
    <col min="11271" max="11271" width="11.1796875" style="449" customWidth="1"/>
    <col min="11272" max="11272" width="17.453125" style="449" customWidth="1"/>
    <col min="11273" max="11273" width="9.453125" style="449" customWidth="1"/>
    <col min="11274" max="11274" width="17.453125" style="449" customWidth="1"/>
    <col min="11275" max="11275" width="10.453125" style="449" customWidth="1"/>
    <col min="11276" max="11276" width="19.453125" style="449" customWidth="1"/>
    <col min="11277" max="11277" width="17.453125" style="449" customWidth="1"/>
    <col min="11278" max="11278" width="43.81640625" style="449" customWidth="1"/>
    <col min="11279" max="11279" width="10.453125" style="449" customWidth="1"/>
    <col min="11280" max="11280" width="13.453125" style="449" customWidth="1"/>
    <col min="11281" max="11282" width="21.453125" style="449" customWidth="1"/>
    <col min="11283" max="11284" width="22" style="449" customWidth="1"/>
    <col min="11285" max="11285" width="22.453125" style="449" bestFit="1" customWidth="1"/>
    <col min="11286" max="11286" width="22.453125" style="449" customWidth="1"/>
    <col min="11287" max="11287" width="22.81640625" style="449" bestFit="1" customWidth="1"/>
    <col min="11288" max="11288" width="22.81640625" style="449" customWidth="1"/>
    <col min="11289" max="11289" width="19.453125" style="449" customWidth="1"/>
    <col min="11290" max="11290" width="8.81640625" style="449"/>
    <col min="11291" max="11291" width="17.453125" style="449" bestFit="1" customWidth="1"/>
    <col min="11292" max="11292" width="16" style="449" customWidth="1"/>
    <col min="11293" max="11294" width="17.453125" style="449" customWidth="1"/>
    <col min="11295" max="11295" width="16.453125" style="449" customWidth="1"/>
    <col min="11296" max="11296" width="8.81640625" style="449"/>
    <col min="11297" max="11297" width="22.453125" style="449" bestFit="1" customWidth="1"/>
    <col min="11298" max="11298" width="22.1796875" style="449" bestFit="1" customWidth="1"/>
    <col min="11299" max="11300" width="17.453125" style="449" customWidth="1"/>
    <col min="11301" max="11301" width="18.1796875" style="449" customWidth="1"/>
    <col min="11302" max="11479" width="8.81640625" style="449"/>
    <col min="11480" max="11480" width="1.453125" style="449" customWidth="1"/>
    <col min="11481" max="11481" width="51.453125" style="449" customWidth="1"/>
    <col min="11482" max="11482" width="12.453125" style="449" customWidth="1"/>
    <col min="11483" max="11483" width="21.453125" style="449" bestFit="1" customWidth="1"/>
    <col min="11484" max="11484" width="12.453125" style="449" customWidth="1"/>
    <col min="11485" max="11485" width="14.453125" style="449" customWidth="1"/>
    <col min="11486" max="11486" width="15.1796875" style="449" customWidth="1"/>
    <col min="11487" max="11487" width="12.453125" style="449" bestFit="1" customWidth="1"/>
    <col min="11488" max="11488" width="13" style="449" customWidth="1"/>
    <col min="11489" max="11489" width="14.54296875" style="449" customWidth="1"/>
    <col min="11490" max="11490" width="44.453125" style="449" customWidth="1"/>
    <col min="11491" max="11491" width="34.54296875" style="449" customWidth="1"/>
    <col min="11492" max="11492" width="37.453125" style="449" customWidth="1"/>
    <col min="11493" max="11493" width="19.81640625" style="449" customWidth="1"/>
    <col min="11494" max="11518" width="8.81640625" style="449"/>
    <col min="11519" max="11519" width="9.54296875" style="449" customWidth="1"/>
    <col min="11520" max="11520" width="50.54296875" style="449" customWidth="1"/>
    <col min="11521" max="11521" width="14.81640625" style="449" customWidth="1"/>
    <col min="11522" max="11522" width="15.54296875" style="449" customWidth="1"/>
    <col min="11523" max="11523" width="8.54296875" style="449" bestFit="1" customWidth="1"/>
    <col min="11524" max="11524" width="21.1796875" style="449" customWidth="1"/>
    <col min="11525" max="11525" width="10.453125" style="449" customWidth="1"/>
    <col min="11526" max="11526" width="17.453125" style="449" customWidth="1"/>
    <col min="11527" max="11527" width="11.1796875" style="449" customWidth="1"/>
    <col min="11528" max="11528" width="17.453125" style="449" customWidth="1"/>
    <col min="11529" max="11529" width="9.453125" style="449" customWidth="1"/>
    <col min="11530" max="11530" width="17.453125" style="449" customWidth="1"/>
    <col min="11531" max="11531" width="10.453125" style="449" customWidth="1"/>
    <col min="11532" max="11532" width="19.453125" style="449" customWidth="1"/>
    <col min="11533" max="11533" width="17.453125" style="449" customWidth="1"/>
    <col min="11534" max="11534" width="43.81640625" style="449" customWidth="1"/>
    <col min="11535" max="11535" width="10.453125" style="449" customWidth="1"/>
    <col min="11536" max="11536" width="13.453125" style="449" customWidth="1"/>
    <col min="11537" max="11538" width="21.453125" style="449" customWidth="1"/>
    <col min="11539" max="11540" width="22" style="449" customWidth="1"/>
    <col min="11541" max="11541" width="22.453125" style="449" bestFit="1" customWidth="1"/>
    <col min="11542" max="11542" width="22.453125" style="449" customWidth="1"/>
    <col min="11543" max="11543" width="22.81640625" style="449" bestFit="1" customWidth="1"/>
    <col min="11544" max="11544" width="22.81640625" style="449" customWidth="1"/>
    <col min="11545" max="11545" width="19.453125" style="449" customWidth="1"/>
    <col min="11546" max="11546" width="8.81640625" style="449"/>
    <col min="11547" max="11547" width="17.453125" style="449" bestFit="1" customWidth="1"/>
    <col min="11548" max="11548" width="16" style="449" customWidth="1"/>
    <col min="11549" max="11550" width="17.453125" style="449" customWidth="1"/>
    <col min="11551" max="11551" width="16.453125" style="449" customWidth="1"/>
    <col min="11552" max="11552" width="8.81640625" style="449"/>
    <col min="11553" max="11553" width="22.453125" style="449" bestFit="1" customWidth="1"/>
    <col min="11554" max="11554" width="22.1796875" style="449" bestFit="1" customWidth="1"/>
    <col min="11555" max="11556" width="17.453125" style="449" customWidth="1"/>
    <col min="11557" max="11557" width="18.1796875" style="449" customWidth="1"/>
    <col min="11558" max="11735" width="8.81640625" style="449"/>
    <col min="11736" max="11736" width="1.453125" style="449" customWidth="1"/>
    <col min="11737" max="11737" width="51.453125" style="449" customWidth="1"/>
    <col min="11738" max="11738" width="12.453125" style="449" customWidth="1"/>
    <col min="11739" max="11739" width="21.453125" style="449" bestFit="1" customWidth="1"/>
    <col min="11740" max="11740" width="12.453125" style="449" customWidth="1"/>
    <col min="11741" max="11741" width="14.453125" style="449" customWidth="1"/>
    <col min="11742" max="11742" width="15.1796875" style="449" customWidth="1"/>
    <col min="11743" max="11743" width="12.453125" style="449" bestFit="1" customWidth="1"/>
    <col min="11744" max="11744" width="13" style="449" customWidth="1"/>
    <col min="11745" max="11745" width="14.54296875" style="449" customWidth="1"/>
    <col min="11746" max="11746" width="44.453125" style="449" customWidth="1"/>
    <col min="11747" max="11747" width="34.54296875" style="449" customWidth="1"/>
    <col min="11748" max="11748" width="37.453125" style="449" customWidth="1"/>
    <col min="11749" max="11749" width="19.81640625" style="449" customWidth="1"/>
    <col min="11750" max="11774" width="8.81640625" style="449"/>
    <col min="11775" max="11775" width="9.54296875" style="449" customWidth="1"/>
    <col min="11776" max="11776" width="50.54296875" style="449" customWidth="1"/>
    <col min="11777" max="11777" width="14.81640625" style="449" customWidth="1"/>
    <col min="11778" max="11778" width="15.54296875" style="449" customWidth="1"/>
    <col min="11779" max="11779" width="8.54296875" style="449" bestFit="1" customWidth="1"/>
    <col min="11780" max="11780" width="21.1796875" style="449" customWidth="1"/>
    <col min="11781" max="11781" width="10.453125" style="449" customWidth="1"/>
    <col min="11782" max="11782" width="17.453125" style="449" customWidth="1"/>
    <col min="11783" max="11783" width="11.1796875" style="449" customWidth="1"/>
    <col min="11784" max="11784" width="17.453125" style="449" customWidth="1"/>
    <col min="11785" max="11785" width="9.453125" style="449" customWidth="1"/>
    <col min="11786" max="11786" width="17.453125" style="449" customWidth="1"/>
    <col min="11787" max="11787" width="10.453125" style="449" customWidth="1"/>
    <col min="11788" max="11788" width="19.453125" style="449" customWidth="1"/>
    <col min="11789" max="11789" width="17.453125" style="449" customWidth="1"/>
    <col min="11790" max="11790" width="43.81640625" style="449" customWidth="1"/>
    <col min="11791" max="11791" width="10.453125" style="449" customWidth="1"/>
    <col min="11792" max="11792" width="13.453125" style="449" customWidth="1"/>
    <col min="11793" max="11794" width="21.453125" style="449" customWidth="1"/>
    <col min="11795" max="11796" width="22" style="449" customWidth="1"/>
    <col min="11797" max="11797" width="22.453125" style="449" bestFit="1" customWidth="1"/>
    <col min="11798" max="11798" width="22.453125" style="449" customWidth="1"/>
    <col min="11799" max="11799" width="22.81640625" style="449" bestFit="1" customWidth="1"/>
    <col min="11800" max="11800" width="22.81640625" style="449" customWidth="1"/>
    <col min="11801" max="11801" width="19.453125" style="449" customWidth="1"/>
    <col min="11802" max="11802" width="8.81640625" style="449"/>
    <col min="11803" max="11803" width="17.453125" style="449" bestFit="1" customWidth="1"/>
    <col min="11804" max="11804" width="16" style="449" customWidth="1"/>
    <col min="11805" max="11806" width="17.453125" style="449" customWidth="1"/>
    <col min="11807" max="11807" width="16.453125" style="449" customWidth="1"/>
    <col min="11808" max="11808" width="8.81640625" style="449"/>
    <col min="11809" max="11809" width="22.453125" style="449" bestFit="1" customWidth="1"/>
    <col min="11810" max="11810" width="22.1796875" style="449" bestFit="1" customWidth="1"/>
    <col min="11811" max="11812" width="17.453125" style="449" customWidth="1"/>
    <col min="11813" max="11813" width="18.1796875" style="449" customWidth="1"/>
    <col min="11814" max="11991" width="8.81640625" style="449"/>
    <col min="11992" max="11992" width="1.453125" style="449" customWidth="1"/>
    <col min="11993" max="11993" width="51.453125" style="449" customWidth="1"/>
    <col min="11994" max="11994" width="12.453125" style="449" customWidth="1"/>
    <col min="11995" max="11995" width="21.453125" style="449" bestFit="1" customWidth="1"/>
    <col min="11996" max="11996" width="12.453125" style="449" customWidth="1"/>
    <col min="11997" max="11997" width="14.453125" style="449" customWidth="1"/>
    <col min="11998" max="11998" width="15.1796875" style="449" customWidth="1"/>
    <col min="11999" max="11999" width="12.453125" style="449" bestFit="1" customWidth="1"/>
    <col min="12000" max="12000" width="13" style="449" customWidth="1"/>
    <col min="12001" max="12001" width="14.54296875" style="449" customWidth="1"/>
    <col min="12002" max="12002" width="44.453125" style="449" customWidth="1"/>
    <col min="12003" max="12003" width="34.54296875" style="449" customWidth="1"/>
    <col min="12004" max="12004" width="37.453125" style="449" customWidth="1"/>
    <col min="12005" max="12005" width="19.81640625" style="449" customWidth="1"/>
    <col min="12006" max="12030" width="8.81640625" style="449"/>
    <col min="12031" max="12031" width="9.54296875" style="449" customWidth="1"/>
    <col min="12032" max="12032" width="50.54296875" style="449" customWidth="1"/>
    <col min="12033" max="12033" width="14.81640625" style="449" customWidth="1"/>
    <col min="12034" max="12034" width="15.54296875" style="449" customWidth="1"/>
    <col min="12035" max="12035" width="8.54296875" style="449" bestFit="1" customWidth="1"/>
    <col min="12036" max="12036" width="21.1796875" style="449" customWidth="1"/>
    <col min="12037" max="12037" width="10.453125" style="449" customWidth="1"/>
    <col min="12038" max="12038" width="17.453125" style="449" customWidth="1"/>
    <col min="12039" max="12039" width="11.1796875" style="449" customWidth="1"/>
    <col min="12040" max="12040" width="17.453125" style="449" customWidth="1"/>
    <col min="12041" max="12041" width="9.453125" style="449" customWidth="1"/>
    <col min="12042" max="12042" width="17.453125" style="449" customWidth="1"/>
    <col min="12043" max="12043" width="10.453125" style="449" customWidth="1"/>
    <col min="12044" max="12044" width="19.453125" style="449" customWidth="1"/>
    <col min="12045" max="12045" width="17.453125" style="449" customWidth="1"/>
    <col min="12046" max="12046" width="43.81640625" style="449" customWidth="1"/>
    <col min="12047" max="12047" width="10.453125" style="449" customWidth="1"/>
    <col min="12048" max="12048" width="13.453125" style="449" customWidth="1"/>
    <col min="12049" max="12050" width="21.453125" style="449" customWidth="1"/>
    <col min="12051" max="12052" width="22" style="449" customWidth="1"/>
    <col min="12053" max="12053" width="22.453125" style="449" bestFit="1" customWidth="1"/>
    <col min="12054" max="12054" width="22.453125" style="449" customWidth="1"/>
    <col min="12055" max="12055" width="22.81640625" style="449" bestFit="1" customWidth="1"/>
    <col min="12056" max="12056" width="22.81640625" style="449" customWidth="1"/>
    <col min="12057" max="12057" width="19.453125" style="449" customWidth="1"/>
    <col min="12058" max="12058" width="8.81640625" style="449"/>
    <col min="12059" max="12059" width="17.453125" style="449" bestFit="1" customWidth="1"/>
    <col min="12060" max="12060" width="16" style="449" customWidth="1"/>
    <col min="12061" max="12062" width="17.453125" style="449" customWidth="1"/>
    <col min="12063" max="12063" width="16.453125" style="449" customWidth="1"/>
    <col min="12064" max="12064" width="8.81640625" style="449"/>
    <col min="12065" max="12065" width="22.453125" style="449" bestFit="1" customWidth="1"/>
    <col min="12066" max="12066" width="22.1796875" style="449" bestFit="1" customWidth="1"/>
    <col min="12067" max="12068" width="17.453125" style="449" customWidth="1"/>
    <col min="12069" max="12069" width="18.1796875" style="449" customWidth="1"/>
    <col min="12070" max="12247" width="8.81640625" style="449"/>
    <col min="12248" max="12248" width="1.453125" style="449" customWidth="1"/>
    <col min="12249" max="12249" width="51.453125" style="449" customWidth="1"/>
    <col min="12250" max="12250" width="12.453125" style="449" customWidth="1"/>
    <col min="12251" max="12251" width="21.453125" style="449" bestFit="1" customWidth="1"/>
    <col min="12252" max="12252" width="12.453125" style="449" customWidth="1"/>
    <col min="12253" max="12253" width="14.453125" style="449" customWidth="1"/>
    <col min="12254" max="12254" width="15.1796875" style="449" customWidth="1"/>
    <col min="12255" max="12255" width="12.453125" style="449" bestFit="1" customWidth="1"/>
    <col min="12256" max="12256" width="13" style="449" customWidth="1"/>
    <col min="12257" max="12257" width="14.54296875" style="449" customWidth="1"/>
    <col min="12258" max="12258" width="44.453125" style="449" customWidth="1"/>
    <col min="12259" max="12259" width="34.54296875" style="449" customWidth="1"/>
    <col min="12260" max="12260" width="37.453125" style="449" customWidth="1"/>
    <col min="12261" max="12261" width="19.81640625" style="449" customWidth="1"/>
    <col min="12262" max="12286" width="8.81640625" style="449"/>
    <col min="12287" max="12287" width="9.54296875" style="449" customWidth="1"/>
    <col min="12288" max="12288" width="50.54296875" style="449" customWidth="1"/>
    <col min="12289" max="12289" width="14.81640625" style="449" customWidth="1"/>
    <col min="12290" max="12290" width="15.54296875" style="449" customWidth="1"/>
    <col min="12291" max="12291" width="8.54296875" style="449" bestFit="1" customWidth="1"/>
    <col min="12292" max="12292" width="21.1796875" style="449" customWidth="1"/>
    <col min="12293" max="12293" width="10.453125" style="449" customWidth="1"/>
    <col min="12294" max="12294" width="17.453125" style="449" customWidth="1"/>
    <col min="12295" max="12295" width="11.1796875" style="449" customWidth="1"/>
    <col min="12296" max="12296" width="17.453125" style="449" customWidth="1"/>
    <col min="12297" max="12297" width="9.453125" style="449" customWidth="1"/>
    <col min="12298" max="12298" width="17.453125" style="449" customWidth="1"/>
    <col min="12299" max="12299" width="10.453125" style="449" customWidth="1"/>
    <col min="12300" max="12300" width="19.453125" style="449" customWidth="1"/>
    <col min="12301" max="12301" width="17.453125" style="449" customWidth="1"/>
    <col min="12302" max="12302" width="43.81640625" style="449" customWidth="1"/>
    <col min="12303" max="12303" width="10.453125" style="449" customWidth="1"/>
    <col min="12304" max="12304" width="13.453125" style="449" customWidth="1"/>
    <col min="12305" max="12306" width="21.453125" style="449" customWidth="1"/>
    <col min="12307" max="12308" width="22" style="449" customWidth="1"/>
    <col min="12309" max="12309" width="22.453125" style="449" bestFit="1" customWidth="1"/>
    <col min="12310" max="12310" width="22.453125" style="449" customWidth="1"/>
    <col min="12311" max="12311" width="22.81640625" style="449" bestFit="1" customWidth="1"/>
    <col min="12312" max="12312" width="22.81640625" style="449" customWidth="1"/>
    <col min="12313" max="12313" width="19.453125" style="449" customWidth="1"/>
    <col min="12314" max="12314" width="8.81640625" style="449"/>
    <col min="12315" max="12315" width="17.453125" style="449" bestFit="1" customWidth="1"/>
    <col min="12316" max="12316" width="16" style="449" customWidth="1"/>
    <col min="12317" max="12318" width="17.453125" style="449" customWidth="1"/>
    <col min="12319" max="12319" width="16.453125" style="449" customWidth="1"/>
    <col min="12320" max="12320" width="8.81640625" style="449"/>
    <col min="12321" max="12321" width="22.453125" style="449" bestFit="1" customWidth="1"/>
    <col min="12322" max="12322" width="22.1796875" style="449" bestFit="1" customWidth="1"/>
    <col min="12323" max="12324" width="17.453125" style="449" customWidth="1"/>
    <col min="12325" max="12325" width="18.1796875" style="449" customWidth="1"/>
    <col min="12326" max="12503" width="8.81640625" style="449"/>
    <col min="12504" max="12504" width="1.453125" style="449" customWidth="1"/>
    <col min="12505" max="12505" width="51.453125" style="449" customWidth="1"/>
    <col min="12506" max="12506" width="12.453125" style="449" customWidth="1"/>
    <col min="12507" max="12507" width="21.453125" style="449" bestFit="1" customWidth="1"/>
    <col min="12508" max="12508" width="12.453125" style="449" customWidth="1"/>
    <col min="12509" max="12509" width="14.453125" style="449" customWidth="1"/>
    <col min="12510" max="12510" width="15.1796875" style="449" customWidth="1"/>
    <col min="12511" max="12511" width="12.453125" style="449" bestFit="1" customWidth="1"/>
    <col min="12512" max="12512" width="13" style="449" customWidth="1"/>
    <col min="12513" max="12513" width="14.54296875" style="449" customWidth="1"/>
    <col min="12514" max="12514" width="44.453125" style="449" customWidth="1"/>
    <col min="12515" max="12515" width="34.54296875" style="449" customWidth="1"/>
    <col min="12516" max="12516" width="37.453125" style="449" customWidth="1"/>
    <col min="12517" max="12517" width="19.81640625" style="449" customWidth="1"/>
    <col min="12518" max="12542" width="8.81640625" style="449"/>
    <col min="12543" max="12543" width="9.54296875" style="449" customWidth="1"/>
    <col min="12544" max="12544" width="50.54296875" style="449" customWidth="1"/>
    <col min="12545" max="12545" width="14.81640625" style="449" customWidth="1"/>
    <col min="12546" max="12546" width="15.54296875" style="449" customWidth="1"/>
    <col min="12547" max="12547" width="8.54296875" style="449" bestFit="1" customWidth="1"/>
    <col min="12548" max="12548" width="21.1796875" style="449" customWidth="1"/>
    <col min="12549" max="12549" width="10.453125" style="449" customWidth="1"/>
    <col min="12550" max="12550" width="17.453125" style="449" customWidth="1"/>
    <col min="12551" max="12551" width="11.1796875" style="449" customWidth="1"/>
    <col min="12552" max="12552" width="17.453125" style="449" customWidth="1"/>
    <col min="12553" max="12553" width="9.453125" style="449" customWidth="1"/>
    <col min="12554" max="12554" width="17.453125" style="449" customWidth="1"/>
    <col min="12555" max="12555" width="10.453125" style="449" customWidth="1"/>
    <col min="12556" max="12556" width="19.453125" style="449" customWidth="1"/>
    <col min="12557" max="12557" width="17.453125" style="449" customWidth="1"/>
    <col min="12558" max="12558" width="43.81640625" style="449" customWidth="1"/>
    <col min="12559" max="12559" width="10.453125" style="449" customWidth="1"/>
    <col min="12560" max="12560" width="13.453125" style="449" customWidth="1"/>
    <col min="12561" max="12562" width="21.453125" style="449" customWidth="1"/>
    <col min="12563" max="12564" width="22" style="449" customWidth="1"/>
    <col min="12565" max="12565" width="22.453125" style="449" bestFit="1" customWidth="1"/>
    <col min="12566" max="12566" width="22.453125" style="449" customWidth="1"/>
    <col min="12567" max="12567" width="22.81640625" style="449" bestFit="1" customWidth="1"/>
    <col min="12568" max="12568" width="22.81640625" style="449" customWidth="1"/>
    <col min="12569" max="12569" width="19.453125" style="449" customWidth="1"/>
    <col min="12570" max="12570" width="8.81640625" style="449"/>
    <col min="12571" max="12571" width="17.453125" style="449" bestFit="1" customWidth="1"/>
    <col min="12572" max="12572" width="16" style="449" customWidth="1"/>
    <col min="12573" max="12574" width="17.453125" style="449" customWidth="1"/>
    <col min="12575" max="12575" width="16.453125" style="449" customWidth="1"/>
    <col min="12576" max="12576" width="8.81640625" style="449"/>
    <col min="12577" max="12577" width="22.453125" style="449" bestFit="1" customWidth="1"/>
    <col min="12578" max="12578" width="22.1796875" style="449" bestFit="1" customWidth="1"/>
    <col min="12579" max="12580" width="17.453125" style="449" customWidth="1"/>
    <col min="12581" max="12581" width="18.1796875" style="449" customWidth="1"/>
    <col min="12582" max="12759" width="8.81640625" style="449"/>
    <col min="12760" max="12760" width="1.453125" style="449" customWidth="1"/>
    <col min="12761" max="12761" width="51.453125" style="449" customWidth="1"/>
    <col min="12762" max="12762" width="12.453125" style="449" customWidth="1"/>
    <col min="12763" max="12763" width="21.453125" style="449" bestFit="1" customWidth="1"/>
    <col min="12764" max="12764" width="12.453125" style="449" customWidth="1"/>
    <col min="12765" max="12765" width="14.453125" style="449" customWidth="1"/>
    <col min="12766" max="12766" width="15.1796875" style="449" customWidth="1"/>
    <col min="12767" max="12767" width="12.453125" style="449" bestFit="1" customWidth="1"/>
    <col min="12768" max="12768" width="13" style="449" customWidth="1"/>
    <col min="12769" max="12769" width="14.54296875" style="449" customWidth="1"/>
    <col min="12770" max="12770" width="44.453125" style="449" customWidth="1"/>
    <col min="12771" max="12771" width="34.54296875" style="449" customWidth="1"/>
    <col min="12772" max="12772" width="37.453125" style="449" customWidth="1"/>
    <col min="12773" max="12773" width="19.81640625" style="449" customWidth="1"/>
    <col min="12774" max="12798" width="8.81640625" style="449"/>
    <col min="12799" max="12799" width="9.54296875" style="449" customWidth="1"/>
    <col min="12800" max="12800" width="50.54296875" style="449" customWidth="1"/>
    <col min="12801" max="12801" width="14.81640625" style="449" customWidth="1"/>
    <col min="12802" max="12802" width="15.54296875" style="449" customWidth="1"/>
    <col min="12803" max="12803" width="8.54296875" style="449" bestFit="1" customWidth="1"/>
    <col min="12804" max="12804" width="21.1796875" style="449" customWidth="1"/>
    <col min="12805" max="12805" width="10.453125" style="449" customWidth="1"/>
    <col min="12806" max="12806" width="17.453125" style="449" customWidth="1"/>
    <col min="12807" max="12807" width="11.1796875" style="449" customWidth="1"/>
    <col min="12808" max="12808" width="17.453125" style="449" customWidth="1"/>
    <col min="12809" max="12809" width="9.453125" style="449" customWidth="1"/>
    <col min="12810" max="12810" width="17.453125" style="449" customWidth="1"/>
    <col min="12811" max="12811" width="10.453125" style="449" customWidth="1"/>
    <col min="12812" max="12812" width="19.453125" style="449" customWidth="1"/>
    <col min="12813" max="12813" width="17.453125" style="449" customWidth="1"/>
    <col min="12814" max="12814" width="43.81640625" style="449" customWidth="1"/>
    <col min="12815" max="12815" width="10.453125" style="449" customWidth="1"/>
    <col min="12816" max="12816" width="13.453125" style="449" customWidth="1"/>
    <col min="12817" max="12818" width="21.453125" style="449" customWidth="1"/>
    <col min="12819" max="12820" width="22" style="449" customWidth="1"/>
    <col min="12821" max="12821" width="22.453125" style="449" bestFit="1" customWidth="1"/>
    <col min="12822" max="12822" width="22.453125" style="449" customWidth="1"/>
    <col min="12823" max="12823" width="22.81640625" style="449" bestFit="1" customWidth="1"/>
    <col min="12824" max="12824" width="22.81640625" style="449" customWidth="1"/>
    <col min="12825" max="12825" width="19.453125" style="449" customWidth="1"/>
    <col min="12826" max="12826" width="8.81640625" style="449"/>
    <col min="12827" max="12827" width="17.453125" style="449" bestFit="1" customWidth="1"/>
    <col min="12828" max="12828" width="16" style="449" customWidth="1"/>
    <col min="12829" max="12830" width="17.453125" style="449" customWidth="1"/>
    <col min="12831" max="12831" width="16.453125" style="449" customWidth="1"/>
    <col min="12832" max="12832" width="8.81640625" style="449"/>
    <col min="12833" max="12833" width="22.453125" style="449" bestFit="1" customWidth="1"/>
    <col min="12834" max="12834" width="22.1796875" style="449" bestFit="1" customWidth="1"/>
    <col min="12835" max="12836" width="17.453125" style="449" customWidth="1"/>
    <col min="12837" max="12837" width="18.1796875" style="449" customWidth="1"/>
    <col min="12838" max="13015" width="8.81640625" style="449"/>
    <col min="13016" max="13016" width="1.453125" style="449" customWidth="1"/>
    <col min="13017" max="13017" width="51.453125" style="449" customWidth="1"/>
    <col min="13018" max="13018" width="12.453125" style="449" customWidth="1"/>
    <col min="13019" max="13019" width="21.453125" style="449" bestFit="1" customWidth="1"/>
    <col min="13020" max="13020" width="12.453125" style="449" customWidth="1"/>
    <col min="13021" max="13021" width="14.453125" style="449" customWidth="1"/>
    <col min="13022" max="13022" width="15.1796875" style="449" customWidth="1"/>
    <col min="13023" max="13023" width="12.453125" style="449" bestFit="1" customWidth="1"/>
    <col min="13024" max="13024" width="13" style="449" customWidth="1"/>
    <col min="13025" max="13025" width="14.54296875" style="449" customWidth="1"/>
    <col min="13026" max="13026" width="44.453125" style="449" customWidth="1"/>
    <col min="13027" max="13027" width="34.54296875" style="449" customWidth="1"/>
    <col min="13028" max="13028" width="37.453125" style="449" customWidth="1"/>
    <col min="13029" max="13029" width="19.81640625" style="449" customWidth="1"/>
    <col min="13030" max="13054" width="8.81640625" style="449"/>
    <col min="13055" max="13055" width="9.54296875" style="449" customWidth="1"/>
    <col min="13056" max="13056" width="50.54296875" style="449" customWidth="1"/>
    <col min="13057" max="13057" width="14.81640625" style="449" customWidth="1"/>
    <col min="13058" max="13058" width="15.54296875" style="449" customWidth="1"/>
    <col min="13059" max="13059" width="8.54296875" style="449" bestFit="1" customWidth="1"/>
    <col min="13060" max="13060" width="21.1796875" style="449" customWidth="1"/>
    <col min="13061" max="13061" width="10.453125" style="449" customWidth="1"/>
    <col min="13062" max="13062" width="17.453125" style="449" customWidth="1"/>
    <col min="13063" max="13063" width="11.1796875" style="449" customWidth="1"/>
    <col min="13064" max="13064" width="17.453125" style="449" customWidth="1"/>
    <col min="13065" max="13065" width="9.453125" style="449" customWidth="1"/>
    <col min="13066" max="13066" width="17.453125" style="449" customWidth="1"/>
    <col min="13067" max="13067" width="10.453125" style="449" customWidth="1"/>
    <col min="13068" max="13068" width="19.453125" style="449" customWidth="1"/>
    <col min="13069" max="13069" width="17.453125" style="449" customWidth="1"/>
    <col min="13070" max="13070" width="43.81640625" style="449" customWidth="1"/>
    <col min="13071" max="13071" width="10.453125" style="449" customWidth="1"/>
    <col min="13072" max="13072" width="13.453125" style="449" customWidth="1"/>
    <col min="13073" max="13074" width="21.453125" style="449" customWidth="1"/>
    <col min="13075" max="13076" width="22" style="449" customWidth="1"/>
    <col min="13077" max="13077" width="22.453125" style="449" bestFit="1" customWidth="1"/>
    <col min="13078" max="13078" width="22.453125" style="449" customWidth="1"/>
    <col min="13079" max="13079" width="22.81640625" style="449" bestFit="1" customWidth="1"/>
    <col min="13080" max="13080" width="22.81640625" style="449" customWidth="1"/>
    <col min="13081" max="13081" width="19.453125" style="449" customWidth="1"/>
    <col min="13082" max="13082" width="8.81640625" style="449"/>
    <col min="13083" max="13083" width="17.453125" style="449" bestFit="1" customWidth="1"/>
    <col min="13084" max="13084" width="16" style="449" customWidth="1"/>
    <col min="13085" max="13086" width="17.453125" style="449" customWidth="1"/>
    <col min="13087" max="13087" width="16.453125" style="449" customWidth="1"/>
    <col min="13088" max="13088" width="8.81640625" style="449"/>
    <col min="13089" max="13089" width="22.453125" style="449" bestFit="1" customWidth="1"/>
    <col min="13090" max="13090" width="22.1796875" style="449" bestFit="1" customWidth="1"/>
    <col min="13091" max="13092" width="17.453125" style="449" customWidth="1"/>
    <col min="13093" max="13093" width="18.1796875" style="449" customWidth="1"/>
    <col min="13094" max="13271" width="8.81640625" style="449"/>
    <col min="13272" max="13272" width="1.453125" style="449" customWidth="1"/>
    <col min="13273" max="13273" width="51.453125" style="449" customWidth="1"/>
    <col min="13274" max="13274" width="12.453125" style="449" customWidth="1"/>
    <col min="13275" max="13275" width="21.453125" style="449" bestFit="1" customWidth="1"/>
    <col min="13276" max="13276" width="12.453125" style="449" customWidth="1"/>
    <col min="13277" max="13277" width="14.453125" style="449" customWidth="1"/>
    <col min="13278" max="13278" width="15.1796875" style="449" customWidth="1"/>
    <col min="13279" max="13279" width="12.453125" style="449" bestFit="1" customWidth="1"/>
    <col min="13280" max="13280" width="13" style="449" customWidth="1"/>
    <col min="13281" max="13281" width="14.54296875" style="449" customWidth="1"/>
    <col min="13282" max="13282" width="44.453125" style="449" customWidth="1"/>
    <col min="13283" max="13283" width="34.54296875" style="449" customWidth="1"/>
    <col min="13284" max="13284" width="37.453125" style="449" customWidth="1"/>
    <col min="13285" max="13285" width="19.81640625" style="449" customWidth="1"/>
    <col min="13286" max="13310" width="8.81640625" style="449"/>
    <col min="13311" max="13311" width="9.54296875" style="449" customWidth="1"/>
    <col min="13312" max="13312" width="50.54296875" style="449" customWidth="1"/>
    <col min="13313" max="13313" width="14.81640625" style="449" customWidth="1"/>
    <col min="13314" max="13314" width="15.54296875" style="449" customWidth="1"/>
    <col min="13315" max="13315" width="8.54296875" style="449" bestFit="1" customWidth="1"/>
    <col min="13316" max="13316" width="21.1796875" style="449" customWidth="1"/>
    <col min="13317" max="13317" width="10.453125" style="449" customWidth="1"/>
    <col min="13318" max="13318" width="17.453125" style="449" customWidth="1"/>
    <col min="13319" max="13319" width="11.1796875" style="449" customWidth="1"/>
    <col min="13320" max="13320" width="17.453125" style="449" customWidth="1"/>
    <col min="13321" max="13321" width="9.453125" style="449" customWidth="1"/>
    <col min="13322" max="13322" width="17.453125" style="449" customWidth="1"/>
    <col min="13323" max="13323" width="10.453125" style="449" customWidth="1"/>
    <col min="13324" max="13324" width="19.453125" style="449" customWidth="1"/>
    <col min="13325" max="13325" width="17.453125" style="449" customWidth="1"/>
    <col min="13326" max="13326" width="43.81640625" style="449" customWidth="1"/>
    <col min="13327" max="13327" width="10.453125" style="449" customWidth="1"/>
    <col min="13328" max="13328" width="13.453125" style="449" customWidth="1"/>
    <col min="13329" max="13330" width="21.453125" style="449" customWidth="1"/>
    <col min="13331" max="13332" width="22" style="449" customWidth="1"/>
    <col min="13333" max="13333" width="22.453125" style="449" bestFit="1" customWidth="1"/>
    <col min="13334" max="13334" width="22.453125" style="449" customWidth="1"/>
    <col min="13335" max="13335" width="22.81640625" style="449" bestFit="1" customWidth="1"/>
    <col min="13336" max="13336" width="22.81640625" style="449" customWidth="1"/>
    <col min="13337" max="13337" width="19.453125" style="449" customWidth="1"/>
    <col min="13338" max="13338" width="8.81640625" style="449"/>
    <col min="13339" max="13339" width="17.453125" style="449" bestFit="1" customWidth="1"/>
    <col min="13340" max="13340" width="16" style="449" customWidth="1"/>
    <col min="13341" max="13342" width="17.453125" style="449" customWidth="1"/>
    <col min="13343" max="13343" width="16.453125" style="449" customWidth="1"/>
    <col min="13344" max="13344" width="8.81640625" style="449"/>
    <col min="13345" max="13345" width="22.453125" style="449" bestFit="1" customWidth="1"/>
    <col min="13346" max="13346" width="22.1796875" style="449" bestFit="1" customWidth="1"/>
    <col min="13347" max="13348" width="17.453125" style="449" customWidth="1"/>
    <col min="13349" max="13349" width="18.1796875" style="449" customWidth="1"/>
    <col min="13350" max="13527" width="8.81640625" style="449"/>
    <col min="13528" max="13528" width="1.453125" style="449" customWidth="1"/>
    <col min="13529" max="13529" width="51.453125" style="449" customWidth="1"/>
    <col min="13530" max="13530" width="12.453125" style="449" customWidth="1"/>
    <col min="13531" max="13531" width="21.453125" style="449" bestFit="1" customWidth="1"/>
    <col min="13532" max="13532" width="12.453125" style="449" customWidth="1"/>
    <col min="13533" max="13533" width="14.453125" style="449" customWidth="1"/>
    <col min="13534" max="13534" width="15.1796875" style="449" customWidth="1"/>
    <col min="13535" max="13535" width="12.453125" style="449" bestFit="1" customWidth="1"/>
    <col min="13536" max="13536" width="13" style="449" customWidth="1"/>
    <col min="13537" max="13537" width="14.54296875" style="449" customWidth="1"/>
    <col min="13538" max="13538" width="44.453125" style="449" customWidth="1"/>
    <col min="13539" max="13539" width="34.54296875" style="449" customWidth="1"/>
    <col min="13540" max="13540" width="37.453125" style="449" customWidth="1"/>
    <col min="13541" max="13541" width="19.81640625" style="449" customWidth="1"/>
    <col min="13542" max="13566" width="8.81640625" style="449"/>
    <col min="13567" max="13567" width="9.54296875" style="449" customWidth="1"/>
    <col min="13568" max="13568" width="50.54296875" style="449" customWidth="1"/>
    <col min="13569" max="13569" width="14.81640625" style="449" customWidth="1"/>
    <col min="13570" max="13570" width="15.54296875" style="449" customWidth="1"/>
    <col min="13571" max="13571" width="8.54296875" style="449" bestFit="1" customWidth="1"/>
    <col min="13572" max="13572" width="21.1796875" style="449" customWidth="1"/>
    <col min="13573" max="13573" width="10.453125" style="449" customWidth="1"/>
    <col min="13574" max="13574" width="17.453125" style="449" customWidth="1"/>
    <col min="13575" max="13575" width="11.1796875" style="449" customWidth="1"/>
    <col min="13576" max="13576" width="17.453125" style="449" customWidth="1"/>
    <col min="13577" max="13577" width="9.453125" style="449" customWidth="1"/>
    <col min="13578" max="13578" width="17.453125" style="449" customWidth="1"/>
    <col min="13579" max="13579" width="10.453125" style="449" customWidth="1"/>
    <col min="13580" max="13580" width="19.453125" style="449" customWidth="1"/>
    <col min="13581" max="13581" width="17.453125" style="449" customWidth="1"/>
    <col min="13582" max="13582" width="43.81640625" style="449" customWidth="1"/>
    <col min="13583" max="13583" width="10.453125" style="449" customWidth="1"/>
    <col min="13584" max="13584" width="13.453125" style="449" customWidth="1"/>
    <col min="13585" max="13586" width="21.453125" style="449" customWidth="1"/>
    <col min="13587" max="13588" width="22" style="449" customWidth="1"/>
    <col min="13589" max="13589" width="22.453125" style="449" bestFit="1" customWidth="1"/>
    <col min="13590" max="13590" width="22.453125" style="449" customWidth="1"/>
    <col min="13591" max="13591" width="22.81640625" style="449" bestFit="1" customWidth="1"/>
    <col min="13592" max="13592" width="22.81640625" style="449" customWidth="1"/>
    <col min="13593" max="13593" width="19.453125" style="449" customWidth="1"/>
    <col min="13594" max="13594" width="8.81640625" style="449"/>
    <col min="13595" max="13595" width="17.453125" style="449" bestFit="1" customWidth="1"/>
    <col min="13596" max="13596" width="16" style="449" customWidth="1"/>
    <col min="13597" max="13598" width="17.453125" style="449" customWidth="1"/>
    <col min="13599" max="13599" width="16.453125" style="449" customWidth="1"/>
    <col min="13600" max="13600" width="8.81640625" style="449"/>
    <col min="13601" max="13601" width="22.453125" style="449" bestFit="1" customWidth="1"/>
    <col min="13602" max="13602" width="22.1796875" style="449" bestFit="1" customWidth="1"/>
    <col min="13603" max="13604" width="17.453125" style="449" customWidth="1"/>
    <col min="13605" max="13605" width="18.1796875" style="449" customWidth="1"/>
    <col min="13606" max="13783" width="8.81640625" style="449"/>
    <col min="13784" max="13784" width="1.453125" style="449" customWidth="1"/>
    <col min="13785" max="13785" width="51.453125" style="449" customWidth="1"/>
    <col min="13786" max="13786" width="12.453125" style="449" customWidth="1"/>
    <col min="13787" max="13787" width="21.453125" style="449" bestFit="1" customWidth="1"/>
    <col min="13788" max="13788" width="12.453125" style="449" customWidth="1"/>
    <col min="13789" max="13789" width="14.453125" style="449" customWidth="1"/>
    <col min="13790" max="13790" width="15.1796875" style="449" customWidth="1"/>
    <col min="13791" max="13791" width="12.453125" style="449" bestFit="1" customWidth="1"/>
    <col min="13792" max="13792" width="13" style="449" customWidth="1"/>
    <col min="13793" max="13793" width="14.54296875" style="449" customWidth="1"/>
    <col min="13794" max="13794" width="44.453125" style="449" customWidth="1"/>
    <col min="13795" max="13795" width="34.54296875" style="449" customWidth="1"/>
    <col min="13796" max="13796" width="37.453125" style="449" customWidth="1"/>
    <col min="13797" max="13797" width="19.81640625" style="449" customWidth="1"/>
    <col min="13798" max="13822" width="8.81640625" style="449"/>
    <col min="13823" max="13823" width="9.54296875" style="449" customWidth="1"/>
    <col min="13824" max="13824" width="50.54296875" style="449" customWidth="1"/>
    <col min="13825" max="13825" width="14.81640625" style="449" customWidth="1"/>
    <col min="13826" max="13826" width="15.54296875" style="449" customWidth="1"/>
    <col min="13827" max="13827" width="8.54296875" style="449" bestFit="1" customWidth="1"/>
    <col min="13828" max="13828" width="21.1796875" style="449" customWidth="1"/>
    <col min="13829" max="13829" width="10.453125" style="449" customWidth="1"/>
    <col min="13830" max="13830" width="17.453125" style="449" customWidth="1"/>
    <col min="13831" max="13831" width="11.1796875" style="449" customWidth="1"/>
    <col min="13832" max="13832" width="17.453125" style="449" customWidth="1"/>
    <col min="13833" max="13833" width="9.453125" style="449" customWidth="1"/>
    <col min="13834" max="13834" width="17.453125" style="449" customWidth="1"/>
    <col min="13835" max="13835" width="10.453125" style="449" customWidth="1"/>
    <col min="13836" max="13836" width="19.453125" style="449" customWidth="1"/>
    <col min="13837" max="13837" width="17.453125" style="449" customWidth="1"/>
    <col min="13838" max="13838" width="43.81640625" style="449" customWidth="1"/>
    <col min="13839" max="13839" width="10.453125" style="449" customWidth="1"/>
    <col min="13840" max="13840" width="13.453125" style="449" customWidth="1"/>
    <col min="13841" max="13842" width="21.453125" style="449" customWidth="1"/>
    <col min="13843" max="13844" width="22" style="449" customWidth="1"/>
    <col min="13845" max="13845" width="22.453125" style="449" bestFit="1" customWidth="1"/>
    <col min="13846" max="13846" width="22.453125" style="449" customWidth="1"/>
    <col min="13847" max="13847" width="22.81640625" style="449" bestFit="1" customWidth="1"/>
    <col min="13848" max="13848" width="22.81640625" style="449" customWidth="1"/>
    <col min="13849" max="13849" width="19.453125" style="449" customWidth="1"/>
    <col min="13850" max="13850" width="8.81640625" style="449"/>
    <col min="13851" max="13851" width="17.453125" style="449" bestFit="1" customWidth="1"/>
    <col min="13852" max="13852" width="16" style="449" customWidth="1"/>
    <col min="13853" max="13854" width="17.453125" style="449" customWidth="1"/>
    <col min="13855" max="13855" width="16.453125" style="449" customWidth="1"/>
    <col min="13856" max="13856" width="8.81640625" style="449"/>
    <col min="13857" max="13857" width="22.453125" style="449" bestFit="1" customWidth="1"/>
    <col min="13858" max="13858" width="22.1796875" style="449" bestFit="1" customWidth="1"/>
    <col min="13859" max="13860" width="17.453125" style="449" customWidth="1"/>
    <col min="13861" max="13861" width="18.1796875" style="449" customWidth="1"/>
    <col min="13862" max="14039" width="8.81640625" style="449"/>
    <col min="14040" max="14040" width="1.453125" style="449" customWidth="1"/>
    <col min="14041" max="14041" width="51.453125" style="449" customWidth="1"/>
    <col min="14042" max="14042" width="12.453125" style="449" customWidth="1"/>
    <col min="14043" max="14043" width="21.453125" style="449" bestFit="1" customWidth="1"/>
    <col min="14044" max="14044" width="12.453125" style="449" customWidth="1"/>
    <col min="14045" max="14045" width="14.453125" style="449" customWidth="1"/>
    <col min="14046" max="14046" width="15.1796875" style="449" customWidth="1"/>
    <col min="14047" max="14047" width="12.453125" style="449" bestFit="1" customWidth="1"/>
    <col min="14048" max="14048" width="13" style="449" customWidth="1"/>
    <col min="14049" max="14049" width="14.54296875" style="449" customWidth="1"/>
    <col min="14050" max="14050" width="44.453125" style="449" customWidth="1"/>
    <col min="14051" max="14051" width="34.54296875" style="449" customWidth="1"/>
    <col min="14052" max="14052" width="37.453125" style="449" customWidth="1"/>
    <col min="14053" max="14053" width="19.81640625" style="449" customWidth="1"/>
    <col min="14054" max="14078" width="8.81640625" style="449"/>
    <col min="14079" max="14079" width="9.54296875" style="449" customWidth="1"/>
    <col min="14080" max="14080" width="50.54296875" style="449" customWidth="1"/>
    <col min="14081" max="14081" width="14.81640625" style="449" customWidth="1"/>
    <col min="14082" max="14082" width="15.54296875" style="449" customWidth="1"/>
    <col min="14083" max="14083" width="8.54296875" style="449" bestFit="1" customWidth="1"/>
    <col min="14084" max="14084" width="21.1796875" style="449" customWidth="1"/>
    <col min="14085" max="14085" width="10.453125" style="449" customWidth="1"/>
    <col min="14086" max="14086" width="17.453125" style="449" customWidth="1"/>
    <col min="14087" max="14087" width="11.1796875" style="449" customWidth="1"/>
    <col min="14088" max="14088" width="17.453125" style="449" customWidth="1"/>
    <col min="14089" max="14089" width="9.453125" style="449" customWidth="1"/>
    <col min="14090" max="14090" width="17.453125" style="449" customWidth="1"/>
    <col min="14091" max="14091" width="10.453125" style="449" customWidth="1"/>
    <col min="14092" max="14092" width="19.453125" style="449" customWidth="1"/>
    <col min="14093" max="14093" width="17.453125" style="449" customWidth="1"/>
    <col min="14094" max="14094" width="43.81640625" style="449" customWidth="1"/>
    <col min="14095" max="14095" width="10.453125" style="449" customWidth="1"/>
    <col min="14096" max="14096" width="13.453125" style="449" customWidth="1"/>
    <col min="14097" max="14098" width="21.453125" style="449" customWidth="1"/>
    <col min="14099" max="14100" width="22" style="449" customWidth="1"/>
    <col min="14101" max="14101" width="22.453125" style="449" bestFit="1" customWidth="1"/>
    <col min="14102" max="14102" width="22.453125" style="449" customWidth="1"/>
    <col min="14103" max="14103" width="22.81640625" style="449" bestFit="1" customWidth="1"/>
    <col min="14104" max="14104" width="22.81640625" style="449" customWidth="1"/>
    <col min="14105" max="14105" width="19.453125" style="449" customWidth="1"/>
    <col min="14106" max="14106" width="8.81640625" style="449"/>
    <col min="14107" max="14107" width="17.453125" style="449" bestFit="1" customWidth="1"/>
    <col min="14108" max="14108" width="16" style="449" customWidth="1"/>
    <col min="14109" max="14110" width="17.453125" style="449" customWidth="1"/>
    <col min="14111" max="14111" width="16.453125" style="449" customWidth="1"/>
    <col min="14112" max="14112" width="8.81640625" style="449"/>
    <col min="14113" max="14113" width="22.453125" style="449" bestFit="1" customWidth="1"/>
    <col min="14114" max="14114" width="22.1796875" style="449" bestFit="1" customWidth="1"/>
    <col min="14115" max="14116" width="17.453125" style="449" customWidth="1"/>
    <col min="14117" max="14117" width="18.1796875" style="449" customWidth="1"/>
    <col min="14118" max="14295" width="8.81640625" style="449"/>
    <col min="14296" max="14296" width="1.453125" style="449" customWidth="1"/>
    <col min="14297" max="14297" width="51.453125" style="449" customWidth="1"/>
    <col min="14298" max="14298" width="12.453125" style="449" customWidth="1"/>
    <col min="14299" max="14299" width="21.453125" style="449" bestFit="1" customWidth="1"/>
    <col min="14300" max="14300" width="12.453125" style="449" customWidth="1"/>
    <col min="14301" max="14301" width="14.453125" style="449" customWidth="1"/>
    <col min="14302" max="14302" width="15.1796875" style="449" customWidth="1"/>
    <col min="14303" max="14303" width="12.453125" style="449" bestFit="1" customWidth="1"/>
    <col min="14304" max="14304" width="13" style="449" customWidth="1"/>
    <col min="14305" max="14305" width="14.54296875" style="449" customWidth="1"/>
    <col min="14306" max="14306" width="44.453125" style="449" customWidth="1"/>
    <col min="14307" max="14307" width="34.54296875" style="449" customWidth="1"/>
    <col min="14308" max="14308" width="37.453125" style="449" customWidth="1"/>
    <col min="14309" max="14309" width="19.81640625" style="449" customWidth="1"/>
    <col min="14310" max="14334" width="8.81640625" style="449"/>
    <col min="14335" max="14335" width="9.54296875" style="449" customWidth="1"/>
    <col min="14336" max="14336" width="50.54296875" style="449" customWidth="1"/>
    <col min="14337" max="14337" width="14.81640625" style="449" customWidth="1"/>
    <col min="14338" max="14338" width="15.54296875" style="449" customWidth="1"/>
    <col min="14339" max="14339" width="8.54296875" style="449" bestFit="1" customWidth="1"/>
    <col min="14340" max="14340" width="21.1796875" style="449" customWidth="1"/>
    <col min="14341" max="14341" width="10.453125" style="449" customWidth="1"/>
    <col min="14342" max="14342" width="17.453125" style="449" customWidth="1"/>
    <col min="14343" max="14343" width="11.1796875" style="449" customWidth="1"/>
    <col min="14344" max="14344" width="17.453125" style="449" customWidth="1"/>
    <col min="14345" max="14345" width="9.453125" style="449" customWidth="1"/>
    <col min="14346" max="14346" width="17.453125" style="449" customWidth="1"/>
    <col min="14347" max="14347" width="10.453125" style="449" customWidth="1"/>
    <col min="14348" max="14348" width="19.453125" style="449" customWidth="1"/>
    <col min="14349" max="14349" width="17.453125" style="449" customWidth="1"/>
    <col min="14350" max="14350" width="43.81640625" style="449" customWidth="1"/>
    <col min="14351" max="14351" width="10.453125" style="449" customWidth="1"/>
    <col min="14352" max="14352" width="13.453125" style="449" customWidth="1"/>
    <col min="14353" max="14354" width="21.453125" style="449" customWidth="1"/>
    <col min="14355" max="14356" width="22" style="449" customWidth="1"/>
    <col min="14357" max="14357" width="22.453125" style="449" bestFit="1" customWidth="1"/>
    <col min="14358" max="14358" width="22.453125" style="449" customWidth="1"/>
    <col min="14359" max="14359" width="22.81640625" style="449" bestFit="1" customWidth="1"/>
    <col min="14360" max="14360" width="22.81640625" style="449" customWidth="1"/>
    <col min="14361" max="14361" width="19.453125" style="449" customWidth="1"/>
    <col min="14362" max="14362" width="8.81640625" style="449"/>
    <col min="14363" max="14363" width="17.453125" style="449" bestFit="1" customWidth="1"/>
    <col min="14364" max="14364" width="16" style="449" customWidth="1"/>
    <col min="14365" max="14366" width="17.453125" style="449" customWidth="1"/>
    <col min="14367" max="14367" width="16.453125" style="449" customWidth="1"/>
    <col min="14368" max="14368" width="8.81640625" style="449"/>
    <col min="14369" max="14369" width="22.453125" style="449" bestFit="1" customWidth="1"/>
    <col min="14370" max="14370" width="22.1796875" style="449" bestFit="1" customWidth="1"/>
    <col min="14371" max="14372" width="17.453125" style="449" customWidth="1"/>
    <col min="14373" max="14373" width="18.1796875" style="449" customWidth="1"/>
    <col min="14374" max="14551" width="8.81640625" style="449"/>
    <col min="14552" max="14552" width="1.453125" style="449" customWidth="1"/>
    <col min="14553" max="14553" width="51.453125" style="449" customWidth="1"/>
    <col min="14554" max="14554" width="12.453125" style="449" customWidth="1"/>
    <col min="14555" max="14555" width="21.453125" style="449" bestFit="1" customWidth="1"/>
    <col min="14556" max="14556" width="12.453125" style="449" customWidth="1"/>
    <col min="14557" max="14557" width="14.453125" style="449" customWidth="1"/>
    <col min="14558" max="14558" width="15.1796875" style="449" customWidth="1"/>
    <col min="14559" max="14559" width="12.453125" style="449" bestFit="1" customWidth="1"/>
    <col min="14560" max="14560" width="13" style="449" customWidth="1"/>
    <col min="14561" max="14561" width="14.54296875" style="449" customWidth="1"/>
    <col min="14562" max="14562" width="44.453125" style="449" customWidth="1"/>
    <col min="14563" max="14563" width="34.54296875" style="449" customWidth="1"/>
    <col min="14564" max="14564" width="37.453125" style="449" customWidth="1"/>
    <col min="14565" max="14565" width="19.81640625" style="449" customWidth="1"/>
    <col min="14566" max="14590" width="8.81640625" style="449"/>
    <col min="14591" max="14591" width="9.54296875" style="449" customWidth="1"/>
    <col min="14592" max="14592" width="50.54296875" style="449" customWidth="1"/>
    <col min="14593" max="14593" width="14.81640625" style="449" customWidth="1"/>
    <col min="14594" max="14594" width="15.54296875" style="449" customWidth="1"/>
    <col min="14595" max="14595" width="8.54296875" style="449" bestFit="1" customWidth="1"/>
    <col min="14596" max="14596" width="21.1796875" style="449" customWidth="1"/>
    <col min="14597" max="14597" width="10.453125" style="449" customWidth="1"/>
    <col min="14598" max="14598" width="17.453125" style="449" customWidth="1"/>
    <col min="14599" max="14599" width="11.1796875" style="449" customWidth="1"/>
    <col min="14600" max="14600" width="17.453125" style="449" customWidth="1"/>
    <col min="14601" max="14601" width="9.453125" style="449" customWidth="1"/>
    <col min="14602" max="14602" width="17.453125" style="449" customWidth="1"/>
    <col min="14603" max="14603" width="10.453125" style="449" customWidth="1"/>
    <col min="14604" max="14604" width="19.453125" style="449" customWidth="1"/>
    <col min="14605" max="14605" width="17.453125" style="449" customWidth="1"/>
    <col min="14606" max="14606" width="43.81640625" style="449" customWidth="1"/>
    <col min="14607" max="14607" width="10.453125" style="449" customWidth="1"/>
    <col min="14608" max="14608" width="13.453125" style="449" customWidth="1"/>
    <col min="14609" max="14610" width="21.453125" style="449" customWidth="1"/>
    <col min="14611" max="14612" width="22" style="449" customWidth="1"/>
    <col min="14613" max="14613" width="22.453125" style="449" bestFit="1" customWidth="1"/>
    <col min="14614" max="14614" width="22.453125" style="449" customWidth="1"/>
    <col min="14615" max="14615" width="22.81640625" style="449" bestFit="1" customWidth="1"/>
    <col min="14616" max="14616" width="22.81640625" style="449" customWidth="1"/>
    <col min="14617" max="14617" width="19.453125" style="449" customWidth="1"/>
    <col min="14618" max="14618" width="8.81640625" style="449"/>
    <col min="14619" max="14619" width="17.453125" style="449" bestFit="1" customWidth="1"/>
    <col min="14620" max="14620" width="16" style="449" customWidth="1"/>
    <col min="14621" max="14622" width="17.453125" style="449" customWidth="1"/>
    <col min="14623" max="14623" width="16.453125" style="449" customWidth="1"/>
    <col min="14624" max="14624" width="8.81640625" style="449"/>
    <col min="14625" max="14625" width="22.453125" style="449" bestFit="1" customWidth="1"/>
    <col min="14626" max="14626" width="22.1796875" style="449" bestFit="1" customWidth="1"/>
    <col min="14627" max="14628" width="17.453125" style="449" customWidth="1"/>
    <col min="14629" max="14629" width="18.1796875" style="449" customWidth="1"/>
    <col min="14630" max="14807" width="8.81640625" style="449"/>
    <col min="14808" max="14808" width="1.453125" style="449" customWidth="1"/>
    <col min="14809" max="14809" width="51.453125" style="449" customWidth="1"/>
    <col min="14810" max="14810" width="12.453125" style="449" customWidth="1"/>
    <col min="14811" max="14811" width="21.453125" style="449" bestFit="1" customWidth="1"/>
    <col min="14812" max="14812" width="12.453125" style="449" customWidth="1"/>
    <col min="14813" max="14813" width="14.453125" style="449" customWidth="1"/>
    <col min="14814" max="14814" width="15.1796875" style="449" customWidth="1"/>
    <col min="14815" max="14815" width="12.453125" style="449" bestFit="1" customWidth="1"/>
    <col min="14816" max="14816" width="13" style="449" customWidth="1"/>
    <col min="14817" max="14817" width="14.54296875" style="449" customWidth="1"/>
    <col min="14818" max="14818" width="44.453125" style="449" customWidth="1"/>
    <col min="14819" max="14819" width="34.54296875" style="449" customWidth="1"/>
    <col min="14820" max="14820" width="37.453125" style="449" customWidth="1"/>
    <col min="14821" max="14821" width="19.81640625" style="449" customWidth="1"/>
    <col min="14822" max="14846" width="8.81640625" style="449"/>
    <col min="14847" max="14847" width="9.54296875" style="449" customWidth="1"/>
    <col min="14848" max="14848" width="50.54296875" style="449" customWidth="1"/>
    <col min="14849" max="14849" width="14.81640625" style="449" customWidth="1"/>
    <col min="14850" max="14850" width="15.54296875" style="449" customWidth="1"/>
    <col min="14851" max="14851" width="8.54296875" style="449" bestFit="1" customWidth="1"/>
    <col min="14852" max="14852" width="21.1796875" style="449" customWidth="1"/>
    <col min="14853" max="14853" width="10.453125" style="449" customWidth="1"/>
    <col min="14854" max="14854" width="17.453125" style="449" customWidth="1"/>
    <col min="14855" max="14855" width="11.1796875" style="449" customWidth="1"/>
    <col min="14856" max="14856" width="17.453125" style="449" customWidth="1"/>
    <col min="14857" max="14857" width="9.453125" style="449" customWidth="1"/>
    <col min="14858" max="14858" width="17.453125" style="449" customWidth="1"/>
    <col min="14859" max="14859" width="10.453125" style="449" customWidth="1"/>
    <col min="14860" max="14860" width="19.453125" style="449" customWidth="1"/>
    <col min="14861" max="14861" width="17.453125" style="449" customWidth="1"/>
    <col min="14862" max="14862" width="43.81640625" style="449" customWidth="1"/>
    <col min="14863" max="14863" width="10.453125" style="449" customWidth="1"/>
    <col min="14864" max="14864" width="13.453125" style="449" customWidth="1"/>
    <col min="14865" max="14866" width="21.453125" style="449" customWidth="1"/>
    <col min="14867" max="14868" width="22" style="449" customWidth="1"/>
    <col min="14869" max="14869" width="22.453125" style="449" bestFit="1" customWidth="1"/>
    <col min="14870" max="14870" width="22.453125" style="449" customWidth="1"/>
    <col min="14871" max="14871" width="22.81640625" style="449" bestFit="1" customWidth="1"/>
    <col min="14872" max="14872" width="22.81640625" style="449" customWidth="1"/>
    <col min="14873" max="14873" width="19.453125" style="449" customWidth="1"/>
    <col min="14874" max="14874" width="8.81640625" style="449"/>
    <col min="14875" max="14875" width="17.453125" style="449" bestFit="1" customWidth="1"/>
    <col min="14876" max="14876" width="16" style="449" customWidth="1"/>
    <col min="14877" max="14878" width="17.453125" style="449" customWidth="1"/>
    <col min="14879" max="14879" width="16.453125" style="449" customWidth="1"/>
    <col min="14880" max="14880" width="8.81640625" style="449"/>
    <col min="14881" max="14881" width="22.453125" style="449" bestFit="1" customWidth="1"/>
    <col min="14882" max="14882" width="22.1796875" style="449" bestFit="1" customWidth="1"/>
    <col min="14883" max="14884" width="17.453125" style="449" customWidth="1"/>
    <col min="14885" max="14885" width="18.1796875" style="449" customWidth="1"/>
    <col min="14886" max="15063" width="8.81640625" style="449"/>
    <col min="15064" max="15064" width="1.453125" style="449" customWidth="1"/>
    <col min="15065" max="15065" width="51.453125" style="449" customWidth="1"/>
    <col min="15066" max="15066" width="12.453125" style="449" customWidth="1"/>
    <col min="15067" max="15067" width="21.453125" style="449" bestFit="1" customWidth="1"/>
    <col min="15068" max="15068" width="12.453125" style="449" customWidth="1"/>
    <col min="15069" max="15069" width="14.453125" style="449" customWidth="1"/>
    <col min="15070" max="15070" width="15.1796875" style="449" customWidth="1"/>
    <col min="15071" max="15071" width="12.453125" style="449" bestFit="1" customWidth="1"/>
    <col min="15072" max="15072" width="13" style="449" customWidth="1"/>
    <col min="15073" max="15073" width="14.54296875" style="449" customWidth="1"/>
    <col min="15074" max="15074" width="44.453125" style="449" customWidth="1"/>
    <col min="15075" max="15075" width="34.54296875" style="449" customWidth="1"/>
    <col min="15076" max="15076" width="37.453125" style="449" customWidth="1"/>
    <col min="15077" max="15077" width="19.81640625" style="449" customWidth="1"/>
    <col min="15078" max="15102" width="8.81640625" style="449"/>
    <col min="15103" max="15103" width="9.54296875" style="449" customWidth="1"/>
    <col min="15104" max="15104" width="50.54296875" style="449" customWidth="1"/>
    <col min="15105" max="15105" width="14.81640625" style="449" customWidth="1"/>
    <col min="15106" max="15106" width="15.54296875" style="449" customWidth="1"/>
    <col min="15107" max="15107" width="8.54296875" style="449" bestFit="1" customWidth="1"/>
    <col min="15108" max="15108" width="21.1796875" style="449" customWidth="1"/>
    <col min="15109" max="15109" width="10.453125" style="449" customWidth="1"/>
    <col min="15110" max="15110" width="17.453125" style="449" customWidth="1"/>
    <col min="15111" max="15111" width="11.1796875" style="449" customWidth="1"/>
    <col min="15112" max="15112" width="17.453125" style="449" customWidth="1"/>
    <col min="15113" max="15113" width="9.453125" style="449" customWidth="1"/>
    <col min="15114" max="15114" width="17.453125" style="449" customWidth="1"/>
    <col min="15115" max="15115" width="10.453125" style="449" customWidth="1"/>
    <col min="15116" max="15116" width="19.453125" style="449" customWidth="1"/>
    <col min="15117" max="15117" width="17.453125" style="449" customWidth="1"/>
    <col min="15118" max="15118" width="43.81640625" style="449" customWidth="1"/>
    <col min="15119" max="15119" width="10.453125" style="449" customWidth="1"/>
    <col min="15120" max="15120" width="13.453125" style="449" customWidth="1"/>
    <col min="15121" max="15122" width="21.453125" style="449" customWidth="1"/>
    <col min="15123" max="15124" width="22" style="449" customWidth="1"/>
    <col min="15125" max="15125" width="22.453125" style="449" bestFit="1" customWidth="1"/>
    <col min="15126" max="15126" width="22.453125" style="449" customWidth="1"/>
    <col min="15127" max="15127" width="22.81640625" style="449" bestFit="1" customWidth="1"/>
    <col min="15128" max="15128" width="22.81640625" style="449" customWidth="1"/>
    <col min="15129" max="15129" width="19.453125" style="449" customWidth="1"/>
    <col min="15130" max="15130" width="8.81640625" style="449"/>
    <col min="15131" max="15131" width="17.453125" style="449" bestFit="1" customWidth="1"/>
    <col min="15132" max="15132" width="16" style="449" customWidth="1"/>
    <col min="15133" max="15134" width="17.453125" style="449" customWidth="1"/>
    <col min="15135" max="15135" width="16.453125" style="449" customWidth="1"/>
    <col min="15136" max="15136" width="8.81640625" style="449"/>
    <col min="15137" max="15137" width="22.453125" style="449" bestFit="1" customWidth="1"/>
    <col min="15138" max="15138" width="22.1796875" style="449" bestFit="1" customWidth="1"/>
    <col min="15139" max="15140" width="17.453125" style="449" customWidth="1"/>
    <col min="15141" max="15141" width="18.1796875" style="449" customWidth="1"/>
    <col min="15142" max="15319" width="8.81640625" style="449"/>
    <col min="15320" max="15320" width="1.453125" style="449" customWidth="1"/>
    <col min="15321" max="15321" width="51.453125" style="449" customWidth="1"/>
    <col min="15322" max="15322" width="12.453125" style="449" customWidth="1"/>
    <col min="15323" max="15323" width="21.453125" style="449" bestFit="1" customWidth="1"/>
    <col min="15324" max="15324" width="12.453125" style="449" customWidth="1"/>
    <col min="15325" max="15325" width="14.453125" style="449" customWidth="1"/>
    <col min="15326" max="15326" width="15.1796875" style="449" customWidth="1"/>
    <col min="15327" max="15327" width="12.453125" style="449" bestFit="1" customWidth="1"/>
    <col min="15328" max="15328" width="13" style="449" customWidth="1"/>
    <col min="15329" max="15329" width="14.54296875" style="449" customWidth="1"/>
    <col min="15330" max="15330" width="44.453125" style="449" customWidth="1"/>
    <col min="15331" max="15331" width="34.54296875" style="449" customWidth="1"/>
    <col min="15332" max="15332" width="37.453125" style="449" customWidth="1"/>
    <col min="15333" max="15333" width="19.81640625" style="449" customWidth="1"/>
    <col min="15334" max="15358" width="8.81640625" style="449"/>
    <col min="15359" max="15359" width="9.54296875" style="449" customWidth="1"/>
    <col min="15360" max="15360" width="50.54296875" style="449" customWidth="1"/>
    <col min="15361" max="15361" width="14.81640625" style="449" customWidth="1"/>
    <col min="15362" max="15362" width="15.54296875" style="449" customWidth="1"/>
    <col min="15363" max="15363" width="8.54296875" style="449" bestFit="1" customWidth="1"/>
    <col min="15364" max="15364" width="21.1796875" style="449" customWidth="1"/>
    <col min="15365" max="15365" width="10.453125" style="449" customWidth="1"/>
    <col min="15366" max="15366" width="17.453125" style="449" customWidth="1"/>
    <col min="15367" max="15367" width="11.1796875" style="449" customWidth="1"/>
    <col min="15368" max="15368" width="17.453125" style="449" customWidth="1"/>
    <col min="15369" max="15369" width="9.453125" style="449" customWidth="1"/>
    <col min="15370" max="15370" width="17.453125" style="449" customWidth="1"/>
    <col min="15371" max="15371" width="10.453125" style="449" customWidth="1"/>
    <col min="15372" max="15372" width="19.453125" style="449" customWidth="1"/>
    <col min="15373" max="15373" width="17.453125" style="449" customWidth="1"/>
    <col min="15374" max="15374" width="43.81640625" style="449" customWidth="1"/>
    <col min="15375" max="15375" width="10.453125" style="449" customWidth="1"/>
    <col min="15376" max="15376" width="13.453125" style="449" customWidth="1"/>
    <col min="15377" max="15378" width="21.453125" style="449" customWidth="1"/>
    <col min="15379" max="15380" width="22" style="449" customWidth="1"/>
    <col min="15381" max="15381" width="22.453125" style="449" bestFit="1" customWidth="1"/>
    <col min="15382" max="15382" width="22.453125" style="449" customWidth="1"/>
    <col min="15383" max="15383" width="22.81640625" style="449" bestFit="1" customWidth="1"/>
    <col min="15384" max="15384" width="22.81640625" style="449" customWidth="1"/>
    <col min="15385" max="15385" width="19.453125" style="449" customWidth="1"/>
    <col min="15386" max="15386" width="8.81640625" style="449"/>
    <col min="15387" max="15387" width="17.453125" style="449" bestFit="1" customWidth="1"/>
    <col min="15388" max="15388" width="16" style="449" customWidth="1"/>
    <col min="15389" max="15390" width="17.453125" style="449" customWidth="1"/>
    <col min="15391" max="15391" width="16.453125" style="449" customWidth="1"/>
    <col min="15392" max="15392" width="8.81640625" style="449"/>
    <col min="15393" max="15393" width="22.453125" style="449" bestFit="1" customWidth="1"/>
    <col min="15394" max="15394" width="22.1796875" style="449" bestFit="1" customWidth="1"/>
    <col min="15395" max="15396" width="17.453125" style="449" customWidth="1"/>
    <col min="15397" max="15397" width="18.1796875" style="449" customWidth="1"/>
    <col min="15398" max="15575" width="8.81640625" style="449"/>
    <col min="15576" max="15576" width="1.453125" style="449" customWidth="1"/>
    <col min="15577" max="15577" width="51.453125" style="449" customWidth="1"/>
    <col min="15578" max="15578" width="12.453125" style="449" customWidth="1"/>
    <col min="15579" max="15579" width="21.453125" style="449" bestFit="1" customWidth="1"/>
    <col min="15580" max="15580" width="12.453125" style="449" customWidth="1"/>
    <col min="15581" max="15581" width="14.453125" style="449" customWidth="1"/>
    <col min="15582" max="15582" width="15.1796875" style="449" customWidth="1"/>
    <col min="15583" max="15583" width="12.453125" style="449" bestFit="1" customWidth="1"/>
    <col min="15584" max="15584" width="13" style="449" customWidth="1"/>
    <col min="15585" max="15585" width="14.54296875" style="449" customWidth="1"/>
    <col min="15586" max="15586" width="44.453125" style="449" customWidth="1"/>
    <col min="15587" max="15587" width="34.54296875" style="449" customWidth="1"/>
    <col min="15588" max="15588" width="37.453125" style="449" customWidth="1"/>
    <col min="15589" max="15589" width="19.81640625" style="449" customWidth="1"/>
    <col min="15590" max="15614" width="8.81640625" style="449"/>
    <col min="15615" max="15615" width="9.54296875" style="449" customWidth="1"/>
    <col min="15616" max="15616" width="50.54296875" style="449" customWidth="1"/>
    <col min="15617" max="15617" width="14.81640625" style="449" customWidth="1"/>
    <col min="15618" max="15618" width="15.54296875" style="449" customWidth="1"/>
    <col min="15619" max="15619" width="8.54296875" style="449" bestFit="1" customWidth="1"/>
    <col min="15620" max="15620" width="21.1796875" style="449" customWidth="1"/>
    <col min="15621" max="15621" width="10.453125" style="449" customWidth="1"/>
    <col min="15622" max="15622" width="17.453125" style="449" customWidth="1"/>
    <col min="15623" max="15623" width="11.1796875" style="449" customWidth="1"/>
    <col min="15624" max="15624" width="17.453125" style="449" customWidth="1"/>
    <col min="15625" max="15625" width="9.453125" style="449" customWidth="1"/>
    <col min="15626" max="15626" width="17.453125" style="449" customWidth="1"/>
    <col min="15627" max="15627" width="10.453125" style="449" customWidth="1"/>
    <col min="15628" max="15628" width="19.453125" style="449" customWidth="1"/>
    <col min="15629" max="15629" width="17.453125" style="449" customWidth="1"/>
    <col min="15630" max="15630" width="43.81640625" style="449" customWidth="1"/>
    <col min="15631" max="15631" width="10.453125" style="449" customWidth="1"/>
    <col min="15632" max="15632" width="13.453125" style="449" customWidth="1"/>
    <col min="15633" max="15634" width="21.453125" style="449" customWidth="1"/>
    <col min="15635" max="15636" width="22" style="449" customWidth="1"/>
    <col min="15637" max="15637" width="22.453125" style="449" bestFit="1" customWidth="1"/>
    <col min="15638" max="15638" width="22.453125" style="449" customWidth="1"/>
    <col min="15639" max="15639" width="22.81640625" style="449" bestFit="1" customWidth="1"/>
    <col min="15640" max="15640" width="22.81640625" style="449" customWidth="1"/>
    <col min="15641" max="15641" width="19.453125" style="449" customWidth="1"/>
    <col min="15642" max="15642" width="8.81640625" style="449"/>
    <col min="15643" max="15643" width="17.453125" style="449" bestFit="1" customWidth="1"/>
    <col min="15644" max="15644" width="16" style="449" customWidth="1"/>
    <col min="15645" max="15646" width="17.453125" style="449" customWidth="1"/>
    <col min="15647" max="15647" width="16.453125" style="449" customWidth="1"/>
    <col min="15648" max="15648" width="8.81640625" style="449"/>
    <col min="15649" max="15649" width="22.453125" style="449" bestFit="1" customWidth="1"/>
    <col min="15650" max="15650" width="22.1796875" style="449" bestFit="1" customWidth="1"/>
    <col min="15651" max="15652" width="17.453125" style="449" customWidth="1"/>
    <col min="15653" max="15653" width="18.1796875" style="449" customWidth="1"/>
    <col min="15654" max="15831" width="8.81640625" style="449"/>
    <col min="15832" max="15832" width="1.453125" style="449" customWidth="1"/>
    <col min="15833" max="15833" width="51.453125" style="449" customWidth="1"/>
    <col min="15834" max="15834" width="12.453125" style="449" customWidth="1"/>
    <col min="15835" max="15835" width="21.453125" style="449" bestFit="1" customWidth="1"/>
    <col min="15836" max="15836" width="12.453125" style="449" customWidth="1"/>
    <col min="15837" max="15837" width="14.453125" style="449" customWidth="1"/>
    <col min="15838" max="15838" width="15.1796875" style="449" customWidth="1"/>
    <col min="15839" max="15839" width="12.453125" style="449" bestFit="1" customWidth="1"/>
    <col min="15840" max="15840" width="13" style="449" customWidth="1"/>
    <col min="15841" max="15841" width="14.54296875" style="449" customWidth="1"/>
    <col min="15842" max="15842" width="44.453125" style="449" customWidth="1"/>
    <col min="15843" max="15843" width="34.54296875" style="449" customWidth="1"/>
    <col min="15844" max="15844" width="37.453125" style="449" customWidth="1"/>
    <col min="15845" max="15845" width="19.81640625" style="449" customWidth="1"/>
    <col min="15846" max="15870" width="8.81640625" style="449"/>
    <col min="15871" max="15871" width="9.54296875" style="449" customWidth="1"/>
    <col min="15872" max="15872" width="50.54296875" style="449" customWidth="1"/>
    <col min="15873" max="15873" width="14.81640625" style="449" customWidth="1"/>
    <col min="15874" max="15874" width="15.54296875" style="449" customWidth="1"/>
    <col min="15875" max="15875" width="8.54296875" style="449" bestFit="1" customWidth="1"/>
    <col min="15876" max="15876" width="21.1796875" style="449" customWidth="1"/>
    <col min="15877" max="15877" width="10.453125" style="449" customWidth="1"/>
    <col min="15878" max="15878" width="17.453125" style="449" customWidth="1"/>
    <col min="15879" max="15879" width="11.1796875" style="449" customWidth="1"/>
    <col min="15880" max="15880" width="17.453125" style="449" customWidth="1"/>
    <col min="15881" max="15881" width="9.453125" style="449" customWidth="1"/>
    <col min="15882" max="15882" width="17.453125" style="449" customWidth="1"/>
    <col min="15883" max="15883" width="10.453125" style="449" customWidth="1"/>
    <col min="15884" max="15884" width="19.453125" style="449" customWidth="1"/>
    <col min="15885" max="15885" width="17.453125" style="449" customWidth="1"/>
    <col min="15886" max="15886" width="43.81640625" style="449" customWidth="1"/>
    <col min="15887" max="15887" width="10.453125" style="449" customWidth="1"/>
    <col min="15888" max="15888" width="13.453125" style="449" customWidth="1"/>
    <col min="15889" max="15890" width="21.453125" style="449" customWidth="1"/>
    <col min="15891" max="15892" width="22" style="449" customWidth="1"/>
    <col min="15893" max="15893" width="22.453125" style="449" bestFit="1" customWidth="1"/>
    <col min="15894" max="15894" width="22.453125" style="449" customWidth="1"/>
    <col min="15895" max="15895" width="22.81640625" style="449" bestFit="1" customWidth="1"/>
    <col min="15896" max="15896" width="22.81640625" style="449" customWidth="1"/>
    <col min="15897" max="15897" width="19.453125" style="449" customWidth="1"/>
    <col min="15898" max="15898" width="8.81640625" style="449"/>
    <col min="15899" max="15899" width="17.453125" style="449" bestFit="1" customWidth="1"/>
    <col min="15900" max="15900" width="16" style="449" customWidth="1"/>
    <col min="15901" max="15902" width="17.453125" style="449" customWidth="1"/>
    <col min="15903" max="15903" width="16.453125" style="449" customWidth="1"/>
    <col min="15904" max="15904" width="8.81640625" style="449"/>
    <col min="15905" max="15905" width="22.453125" style="449" bestFit="1" customWidth="1"/>
    <col min="15906" max="15906" width="22.1796875" style="449" bestFit="1" customWidth="1"/>
    <col min="15907" max="15908" width="17.453125" style="449" customWidth="1"/>
    <col min="15909" max="15909" width="18.1796875" style="449" customWidth="1"/>
    <col min="15910" max="16087" width="8.81640625" style="449"/>
    <col min="16088" max="16088" width="1.453125" style="449" customWidth="1"/>
    <col min="16089" max="16089" width="51.453125" style="449" customWidth="1"/>
    <col min="16090" max="16090" width="12.453125" style="449" customWidth="1"/>
    <col min="16091" max="16091" width="21.453125" style="449" bestFit="1" customWidth="1"/>
    <col min="16092" max="16092" width="12.453125" style="449" customWidth="1"/>
    <col min="16093" max="16093" width="14.453125" style="449" customWidth="1"/>
    <col min="16094" max="16094" width="15.1796875" style="449" customWidth="1"/>
    <col min="16095" max="16095" width="12.453125" style="449" bestFit="1" customWidth="1"/>
    <col min="16096" max="16096" width="13" style="449" customWidth="1"/>
    <col min="16097" max="16097" width="14.54296875" style="449" customWidth="1"/>
    <col min="16098" max="16098" width="44.453125" style="449" customWidth="1"/>
    <col min="16099" max="16099" width="34.54296875" style="449" customWidth="1"/>
    <col min="16100" max="16100" width="37.453125" style="449" customWidth="1"/>
    <col min="16101" max="16101" width="19.81640625" style="449" customWidth="1"/>
    <col min="16102" max="16126" width="8.81640625" style="449"/>
    <col min="16127" max="16127" width="9.54296875" style="449" customWidth="1"/>
    <col min="16128" max="16128" width="50.54296875" style="449" customWidth="1"/>
    <col min="16129" max="16129" width="14.81640625" style="449" customWidth="1"/>
    <col min="16130" max="16130" width="15.54296875" style="449" customWidth="1"/>
    <col min="16131" max="16131" width="8.54296875" style="449" bestFit="1" customWidth="1"/>
    <col min="16132" max="16132" width="21.1796875" style="449" customWidth="1"/>
    <col min="16133" max="16133" width="10.453125" style="449" customWidth="1"/>
    <col min="16134" max="16134" width="17.453125" style="449" customWidth="1"/>
    <col min="16135" max="16135" width="11.1796875" style="449" customWidth="1"/>
    <col min="16136" max="16136" width="17.453125" style="449" customWidth="1"/>
    <col min="16137" max="16137" width="9.453125" style="449" customWidth="1"/>
    <col min="16138" max="16138" width="17.453125" style="449" customWidth="1"/>
    <col min="16139" max="16139" width="10.453125" style="449" customWidth="1"/>
    <col min="16140" max="16140" width="19.453125" style="449" customWidth="1"/>
    <col min="16141" max="16141" width="17.453125" style="449" customWidth="1"/>
    <col min="16142" max="16142" width="43.81640625" style="449" customWidth="1"/>
    <col min="16143" max="16143" width="10.453125" style="449" customWidth="1"/>
    <col min="16144" max="16144" width="13.453125" style="449" customWidth="1"/>
    <col min="16145" max="16146" width="21.453125" style="449" customWidth="1"/>
    <col min="16147" max="16148" width="22" style="449" customWidth="1"/>
    <col min="16149" max="16149" width="22.453125" style="449" bestFit="1" customWidth="1"/>
    <col min="16150" max="16150" width="22.453125" style="449" customWidth="1"/>
    <col min="16151" max="16151" width="22.81640625" style="449" bestFit="1" customWidth="1"/>
    <col min="16152" max="16152" width="22.81640625" style="449" customWidth="1"/>
    <col min="16153" max="16153" width="19.453125" style="449" customWidth="1"/>
    <col min="16154" max="16154" width="8.81640625" style="449"/>
    <col min="16155" max="16155" width="17.453125" style="449" bestFit="1" customWidth="1"/>
    <col min="16156" max="16156" width="16" style="449" customWidth="1"/>
    <col min="16157" max="16158" width="17.453125" style="449" customWidth="1"/>
    <col min="16159" max="16159" width="16.453125" style="449" customWidth="1"/>
    <col min="16160" max="16160" width="8.81640625" style="449"/>
    <col min="16161" max="16161" width="22.453125" style="449" bestFit="1" customWidth="1"/>
    <col min="16162" max="16162" width="22.1796875" style="449" bestFit="1" customWidth="1"/>
    <col min="16163" max="16164" width="17.453125" style="449" customWidth="1"/>
    <col min="16165" max="16165" width="18.1796875" style="449" customWidth="1"/>
    <col min="16166" max="16343" width="8.81640625" style="449"/>
    <col min="16344" max="16344" width="1.453125" style="449" customWidth="1"/>
    <col min="16345" max="16345" width="51.453125" style="449" customWidth="1"/>
    <col min="16346" max="16346" width="12.453125" style="449" customWidth="1"/>
    <col min="16347" max="16347" width="21.453125" style="449" bestFit="1" customWidth="1"/>
    <col min="16348" max="16348" width="12.453125" style="449" customWidth="1"/>
    <col min="16349" max="16349" width="14.453125" style="449" customWidth="1"/>
    <col min="16350" max="16350" width="15.1796875" style="449" customWidth="1"/>
    <col min="16351" max="16351" width="12.453125" style="449" bestFit="1" customWidth="1"/>
    <col min="16352" max="16352" width="13" style="449" customWidth="1"/>
    <col min="16353" max="16353" width="14.54296875" style="449" customWidth="1"/>
    <col min="16354" max="16354" width="44.453125" style="449" customWidth="1"/>
    <col min="16355" max="16355" width="34.54296875" style="449" customWidth="1"/>
    <col min="16356" max="16356" width="37.453125" style="449" customWidth="1"/>
    <col min="16357" max="16357" width="19.81640625" style="449" customWidth="1"/>
    <col min="16358" max="16384" width="8.81640625" style="449"/>
  </cols>
  <sheetData>
    <row r="1" spans="1:41">
      <c r="A1" s="442" t="s">
        <v>403</v>
      </c>
      <c r="F1" s="445"/>
    </row>
    <row r="2" spans="1:41">
      <c r="B2" s="450" t="s">
        <v>524</v>
      </c>
      <c r="C2" s="451"/>
      <c r="D2" s="451"/>
      <c r="E2" s="451"/>
      <c r="F2" s="452"/>
      <c r="G2" s="451"/>
      <c r="H2" s="712"/>
      <c r="I2" s="451"/>
      <c r="J2" s="713"/>
      <c r="K2" s="451"/>
      <c r="L2" s="453"/>
      <c r="M2" s="453"/>
      <c r="N2" s="453"/>
      <c r="O2" s="453"/>
      <c r="P2" s="466"/>
      <c r="Q2" s="453"/>
      <c r="R2" s="453"/>
      <c r="S2" s="453"/>
      <c r="T2" s="453"/>
    </row>
    <row r="3" spans="1:41" ht="64">
      <c r="B3" s="454" t="s">
        <v>522</v>
      </c>
      <c r="C3" s="451"/>
      <c r="D3" s="451"/>
      <c r="E3" s="451"/>
      <c r="F3" s="452"/>
      <c r="G3" s="451"/>
      <c r="H3" s="713"/>
      <c r="I3" s="451"/>
      <c r="J3" s="713"/>
      <c r="K3" s="451"/>
      <c r="L3" s="455"/>
      <c r="M3" s="455"/>
      <c r="N3" s="455"/>
      <c r="O3" s="453"/>
      <c r="P3" s="466"/>
      <c r="Q3" s="453"/>
      <c r="R3" s="455"/>
      <c r="S3" s="453"/>
      <c r="T3" s="453"/>
    </row>
    <row r="4" spans="1:41" ht="16.5" thickBot="1">
      <c r="B4" s="450" t="s">
        <v>523</v>
      </c>
      <c r="C4" s="451"/>
      <c r="D4" s="451"/>
      <c r="E4" s="451"/>
      <c r="F4" s="452"/>
      <c r="G4" s="451"/>
      <c r="H4" s="713"/>
      <c r="I4" s="451"/>
      <c r="J4" s="713"/>
      <c r="K4" s="451"/>
      <c r="L4" s="455"/>
      <c r="M4" s="455"/>
      <c r="N4" s="455"/>
      <c r="O4" s="453"/>
      <c r="P4" s="466"/>
      <c r="Q4" s="453"/>
      <c r="R4" s="455"/>
      <c r="S4" s="453"/>
      <c r="T4" s="453"/>
    </row>
    <row r="5" spans="1:41" ht="20.5" thickBot="1">
      <c r="B5" s="454" t="s">
        <v>521</v>
      </c>
      <c r="C5" s="451"/>
      <c r="D5" s="451"/>
      <c r="E5" s="451"/>
      <c r="F5" s="452"/>
      <c r="G5" s="451"/>
      <c r="H5" s="713"/>
      <c r="I5" s="451"/>
      <c r="J5" s="714"/>
      <c r="K5" s="451"/>
      <c r="L5" s="469"/>
      <c r="M5" s="469"/>
      <c r="N5" s="469"/>
      <c r="O5" s="453"/>
      <c r="P5" s="466"/>
      <c r="Q5" s="453"/>
      <c r="R5" s="455"/>
      <c r="S5" s="453"/>
      <c r="T5" s="453"/>
      <c r="U5" s="456" t="s">
        <v>33</v>
      </c>
      <c r="V5" s="457"/>
      <c r="W5" s="457"/>
      <c r="X5" s="457"/>
      <c r="Y5" s="457"/>
      <c r="Z5" s="457"/>
      <c r="AA5" s="457"/>
      <c r="AB5" s="457"/>
      <c r="AC5" s="458"/>
      <c r="AE5" s="459" t="s">
        <v>404</v>
      </c>
      <c r="AF5" s="460"/>
      <c r="AG5" s="460"/>
      <c r="AH5" s="460"/>
      <c r="AI5" s="461"/>
      <c r="AK5" s="462" t="s">
        <v>405</v>
      </c>
      <c r="AL5" s="463"/>
      <c r="AM5" s="463"/>
      <c r="AN5" s="463"/>
      <c r="AO5" s="464"/>
    </row>
    <row r="6" spans="1:41" s="447" customFormat="1" ht="13.5" customHeight="1">
      <c r="B6" s="451" t="s">
        <v>406</v>
      </c>
      <c r="C6" s="451"/>
      <c r="D6" s="451"/>
      <c r="E6" s="451"/>
      <c r="F6" s="452"/>
      <c r="G6" s="451"/>
      <c r="H6" s="713"/>
      <c r="I6" s="451"/>
      <c r="J6" s="713"/>
      <c r="K6" s="453"/>
      <c r="L6" s="455"/>
      <c r="M6" s="455"/>
      <c r="N6" s="455"/>
      <c r="O6" s="453"/>
      <c r="P6" s="469"/>
      <c r="Q6" s="453"/>
      <c r="R6" s="453"/>
      <c r="S6" s="453"/>
      <c r="T6" s="453"/>
      <c r="U6" s="453"/>
      <c r="V6" s="453"/>
      <c r="W6" s="465"/>
      <c r="X6" s="465"/>
      <c r="Y6" s="465"/>
      <c r="Z6" s="465"/>
      <c r="AA6" s="465"/>
      <c r="AB6" s="465"/>
      <c r="AC6" s="465"/>
      <c r="AE6" s="466"/>
      <c r="AF6" s="467" t="s">
        <v>407</v>
      </c>
      <c r="AG6" s="468">
        <v>0.83</v>
      </c>
      <c r="AH6" s="467"/>
      <c r="AI6" s="467"/>
      <c r="AK6" s="469"/>
      <c r="AL6" s="470" t="s">
        <v>408</v>
      </c>
      <c r="AM6" s="471">
        <v>7.0000000000000007E-2</v>
      </c>
      <c r="AN6" s="470"/>
      <c r="AO6" s="470"/>
    </row>
    <row r="7" spans="1:41" s="447" customFormat="1">
      <c r="B7" s="451"/>
      <c r="C7" s="453"/>
      <c r="D7" s="466"/>
      <c r="E7" s="453"/>
      <c r="F7" s="451"/>
      <c r="G7" s="451"/>
      <c r="H7" s="451"/>
      <c r="I7" s="451"/>
      <c r="J7" s="451"/>
      <c r="K7" s="451"/>
      <c r="L7" s="451"/>
      <c r="M7" s="451"/>
      <c r="N7" s="451"/>
      <c r="O7" s="451"/>
      <c r="P7" s="451"/>
      <c r="Q7" s="451"/>
      <c r="R7" s="451"/>
      <c r="U7" s="465"/>
      <c r="V7" s="465"/>
      <c r="W7" s="465"/>
      <c r="X7" s="465"/>
      <c r="Y7" s="465"/>
      <c r="Z7" s="465"/>
      <c r="AA7" s="465"/>
      <c r="AB7" s="465"/>
      <c r="AC7" s="465"/>
      <c r="AE7" s="467"/>
      <c r="AF7" s="467"/>
      <c r="AG7" s="467"/>
      <c r="AH7" s="467"/>
      <c r="AI7" s="467"/>
      <c r="AK7" s="470"/>
      <c r="AL7" s="470"/>
      <c r="AM7" s="470"/>
      <c r="AN7" s="470"/>
      <c r="AO7" s="470"/>
    </row>
    <row r="8" spans="1:41" s="447" customFormat="1">
      <c r="B8" s="453"/>
      <c r="C8" s="453"/>
      <c r="D8" s="466"/>
      <c r="E8" s="453"/>
      <c r="F8" s="466"/>
      <c r="G8" s="453"/>
      <c r="H8" s="467"/>
      <c r="I8" s="465"/>
      <c r="J8" s="467"/>
      <c r="K8" s="465"/>
      <c r="L8" s="467"/>
      <c r="M8" s="467"/>
      <c r="N8" s="467"/>
      <c r="O8" s="453"/>
      <c r="P8" s="466"/>
      <c r="Q8" s="453"/>
      <c r="R8" s="453"/>
      <c r="U8" s="453"/>
      <c r="V8" s="453"/>
      <c r="W8" s="465"/>
      <c r="X8" s="465"/>
      <c r="Y8" s="465"/>
      <c r="Z8" s="465"/>
      <c r="AA8" s="465"/>
      <c r="AB8" s="465"/>
      <c r="AC8" s="465"/>
      <c r="AE8" s="466"/>
      <c r="AF8" s="467"/>
      <c r="AG8" s="467"/>
      <c r="AH8" s="467"/>
      <c r="AI8" s="467"/>
      <c r="AK8" s="469"/>
      <c r="AL8" s="470"/>
      <c r="AM8" s="470"/>
      <c r="AN8" s="470"/>
      <c r="AO8" s="470"/>
    </row>
    <row r="9" spans="1:41" ht="16.5" thickBot="1"/>
    <row r="10" spans="1:41" ht="81.75" customHeight="1">
      <c r="A10" s="472"/>
      <c r="B10" s="473" t="s">
        <v>25</v>
      </c>
      <c r="C10" s="474" t="s">
        <v>43</v>
      </c>
      <c r="D10" s="475" t="s">
        <v>409</v>
      </c>
      <c r="E10" s="476" t="s">
        <v>410</v>
      </c>
      <c r="F10" s="475" t="s">
        <v>512</v>
      </c>
      <c r="G10" s="715" t="s">
        <v>553</v>
      </c>
      <c r="H10" s="475" t="s">
        <v>516</v>
      </c>
      <c r="I10" s="715" t="s">
        <v>554</v>
      </c>
      <c r="J10" s="475" t="s">
        <v>513</v>
      </c>
      <c r="K10" s="715" t="s">
        <v>555</v>
      </c>
      <c r="L10" s="475" t="s">
        <v>511</v>
      </c>
      <c r="M10" s="475" t="s">
        <v>510</v>
      </c>
      <c r="N10" s="475" t="s">
        <v>517</v>
      </c>
      <c r="O10" s="474" t="s">
        <v>53</v>
      </c>
      <c r="P10" s="475" t="s">
        <v>54</v>
      </c>
      <c r="Q10" s="477" t="s">
        <v>55</v>
      </c>
      <c r="R10" s="478" t="s">
        <v>56</v>
      </c>
      <c r="U10" s="479" t="str">
        <f>F10</f>
        <v>Y1 June 2024- Dec 2024 Budget</v>
      </c>
      <c r="V10" s="480"/>
      <c r="W10" s="474" t="str">
        <f>H10</f>
        <v>Y2 Jan 2025-Dec 2025 Budget</v>
      </c>
      <c r="X10" s="474"/>
      <c r="Y10" s="474" t="str">
        <f>J10</f>
        <v>Y3 Jan 2026 -Dec 2026 Budget</v>
      </c>
      <c r="Z10" s="474"/>
      <c r="AA10" s="474" t="str">
        <f>L10</f>
        <v>Y4 Jan 2027- Dec 2027 Budget</v>
      </c>
      <c r="AB10" s="481"/>
      <c r="AC10" s="481" t="s">
        <v>57</v>
      </c>
      <c r="AE10" s="482" t="str">
        <f>U10</f>
        <v>Y1 June 2024- Dec 2024 Budget</v>
      </c>
      <c r="AF10" s="475" t="str">
        <f>W10</f>
        <v>Y2 Jan 2025-Dec 2025 Budget</v>
      </c>
      <c r="AG10" s="475" t="str">
        <f>Y10</f>
        <v>Y3 Jan 2026 -Dec 2026 Budget</v>
      </c>
      <c r="AH10" s="475" t="str">
        <f>AA10</f>
        <v>Y4 Jan 2027- Dec 2027 Budget</v>
      </c>
      <c r="AI10" s="483" t="s">
        <v>24</v>
      </c>
      <c r="AK10" s="484" t="s">
        <v>58</v>
      </c>
      <c r="AL10" s="485" t="s">
        <v>59</v>
      </c>
      <c r="AM10" s="485" t="s">
        <v>60</v>
      </c>
      <c r="AN10" s="485" t="s">
        <v>61</v>
      </c>
      <c r="AO10" s="486" t="s">
        <v>57</v>
      </c>
    </row>
    <row r="11" spans="1:41" ht="29.15" customHeight="1" thickBot="1">
      <c r="A11" s="487"/>
      <c r="B11" s="488"/>
      <c r="C11" s="489" t="s">
        <v>62</v>
      </c>
      <c r="D11" s="490" t="s">
        <v>63</v>
      </c>
      <c r="E11" s="491" t="s">
        <v>64</v>
      </c>
      <c r="F11" s="490" t="s">
        <v>411</v>
      </c>
      <c r="G11" s="491" t="s">
        <v>66</v>
      </c>
      <c r="H11" s="490" t="s">
        <v>412</v>
      </c>
      <c r="I11" s="491" t="s">
        <v>68</v>
      </c>
      <c r="J11" s="490" t="s">
        <v>413</v>
      </c>
      <c r="K11" s="491" t="s">
        <v>70</v>
      </c>
      <c r="L11" s="490" t="s">
        <v>414</v>
      </c>
      <c r="M11" s="490" t="s">
        <v>320</v>
      </c>
      <c r="N11" s="490" t="s">
        <v>514</v>
      </c>
      <c r="O11" s="489" t="s">
        <v>515</v>
      </c>
      <c r="P11" s="490" t="s">
        <v>415</v>
      </c>
      <c r="Q11" s="492"/>
      <c r="R11" s="493"/>
      <c r="U11" s="494"/>
      <c r="V11" s="495"/>
      <c r="W11" s="489"/>
      <c r="X11" s="489"/>
      <c r="Y11" s="489"/>
      <c r="Z11" s="489"/>
      <c r="AA11" s="489"/>
      <c r="AB11" s="496"/>
      <c r="AC11" s="496"/>
      <c r="AE11" s="497"/>
      <c r="AF11" s="490"/>
      <c r="AG11" s="490"/>
      <c r="AH11" s="490"/>
      <c r="AI11" s="498"/>
      <c r="AK11" s="499" t="s">
        <v>65</v>
      </c>
      <c r="AL11" s="500" t="s">
        <v>67</v>
      </c>
      <c r="AM11" s="500" t="s">
        <v>69</v>
      </c>
      <c r="AN11" s="500" t="s">
        <v>71</v>
      </c>
      <c r="AO11" s="501" t="s">
        <v>71</v>
      </c>
    </row>
    <row r="12" spans="1:41" ht="14.25" customHeight="1">
      <c r="B12" s="502" t="s">
        <v>74</v>
      </c>
      <c r="C12" s="503"/>
      <c r="D12" s="504"/>
      <c r="E12" s="503"/>
      <c r="F12" s="504"/>
      <c r="G12" s="503"/>
      <c r="H12" s="504"/>
      <c r="I12" s="503"/>
      <c r="J12" s="504"/>
      <c r="K12" s="503"/>
      <c r="L12" s="504"/>
      <c r="M12" s="504"/>
      <c r="N12" s="504"/>
      <c r="O12" s="503"/>
      <c r="P12" s="504"/>
      <c r="Q12" s="505"/>
      <c r="R12" s="506"/>
      <c r="U12" s="507"/>
      <c r="V12" s="508"/>
      <c r="W12" s="509"/>
      <c r="X12" s="509"/>
      <c r="Y12" s="509"/>
      <c r="Z12" s="509"/>
      <c r="AA12" s="509"/>
      <c r="AB12" s="510"/>
      <c r="AC12" s="510"/>
      <c r="AE12" s="511"/>
      <c r="AF12" s="512"/>
      <c r="AG12" s="512"/>
      <c r="AH12" s="512"/>
      <c r="AI12" s="513"/>
      <c r="AK12" s="514"/>
      <c r="AL12" s="515"/>
      <c r="AM12" s="515"/>
      <c r="AN12" s="515"/>
      <c r="AO12" s="516"/>
    </row>
    <row r="13" spans="1:41" ht="14.25" customHeight="1">
      <c r="B13" s="517" t="s">
        <v>518</v>
      </c>
      <c r="C13" s="518"/>
      <c r="D13" s="519"/>
      <c r="E13" s="518"/>
      <c r="F13" s="519"/>
      <c r="G13" s="518"/>
      <c r="H13" s="519"/>
      <c r="I13" s="518"/>
      <c r="J13" s="519"/>
      <c r="K13" s="518"/>
      <c r="L13" s="519"/>
      <c r="M13" s="519"/>
      <c r="N13" s="519"/>
      <c r="O13" s="518"/>
      <c r="P13" s="519"/>
      <c r="Q13" s="520"/>
      <c r="R13" s="521"/>
      <c r="U13" s="507"/>
      <c r="V13" s="522" t="s">
        <v>76</v>
      </c>
      <c r="W13" s="509"/>
      <c r="X13" s="522" t="s">
        <v>77</v>
      </c>
      <c r="Y13" s="509"/>
      <c r="Z13" s="522" t="s">
        <v>78</v>
      </c>
      <c r="AA13" s="509"/>
      <c r="AB13" s="522" t="s">
        <v>79</v>
      </c>
      <c r="AC13" s="510"/>
      <c r="AE13" s="511"/>
      <c r="AF13" s="512"/>
      <c r="AG13" s="512"/>
      <c r="AH13" s="512"/>
      <c r="AI13" s="513"/>
      <c r="AK13" s="523"/>
      <c r="AL13" s="524"/>
      <c r="AM13" s="524"/>
      <c r="AN13" s="524"/>
      <c r="AO13" s="525"/>
    </row>
    <row r="14" spans="1:41" ht="14.25" customHeight="1">
      <c r="B14" s="517" t="s">
        <v>519</v>
      </c>
      <c r="C14" s="518"/>
      <c r="D14" s="519">
        <f>SUBTOTAL(9,D15:D20)</f>
        <v>0</v>
      </c>
      <c r="E14" s="519">
        <f t="shared" ref="E14:K14" si="0">SUBTOTAL(9,E15:E20)</f>
        <v>25</v>
      </c>
      <c r="F14" s="519">
        <f>SUBTOTAL(9,F15:F20)</f>
        <v>0</v>
      </c>
      <c r="G14" s="519">
        <f t="shared" si="0"/>
        <v>72</v>
      </c>
      <c r="H14" s="519">
        <f>SUBTOTAL(9,H15:H20)</f>
        <v>0</v>
      </c>
      <c r="I14" s="519">
        <f t="shared" si="0"/>
        <v>72</v>
      </c>
      <c r="J14" s="519">
        <f>SUBTOTAL(9,J15:J20)</f>
        <v>0</v>
      </c>
      <c r="K14" s="519">
        <f t="shared" si="0"/>
        <v>72</v>
      </c>
      <c r="L14" s="519">
        <f>SUBTOTAL(9,L15:L20)</f>
        <v>0</v>
      </c>
      <c r="M14" s="519">
        <f t="shared" ref="M14" si="1">SUBTOTAL(9,M15:M20)</f>
        <v>36</v>
      </c>
      <c r="N14" s="519">
        <f>SUBTOTAL(9,N15:N20)</f>
        <v>0</v>
      </c>
      <c r="O14" s="519">
        <f>SUBTOTAL(9,O15:O20)</f>
        <v>277</v>
      </c>
      <c r="P14" s="519">
        <f>SUBTOTAL(9,P15:P20)</f>
        <v>0</v>
      </c>
      <c r="Q14" s="520"/>
      <c r="R14" s="521"/>
      <c r="U14" s="507"/>
      <c r="V14" s="522"/>
      <c r="W14" s="509"/>
      <c r="X14" s="522"/>
      <c r="Y14" s="509"/>
      <c r="Z14" s="522"/>
      <c r="AA14" s="509"/>
      <c r="AB14" s="522"/>
      <c r="AC14" s="510"/>
      <c r="AE14" s="511"/>
      <c r="AF14" s="512"/>
      <c r="AG14" s="512"/>
      <c r="AH14" s="512"/>
      <c r="AI14" s="513"/>
      <c r="AK14" s="523"/>
      <c r="AL14" s="523"/>
      <c r="AM14" s="523"/>
      <c r="AN14" s="523"/>
      <c r="AO14" s="525"/>
    </row>
    <row r="15" spans="1:41" s="447" customFormat="1" ht="42.75" customHeight="1">
      <c r="B15" s="526"/>
      <c r="C15" s="527" t="s">
        <v>82</v>
      </c>
      <c r="D15" s="528"/>
      <c r="E15" s="527">
        <v>5</v>
      </c>
      <c r="F15" s="529">
        <f>E15*D15</f>
        <v>0</v>
      </c>
      <c r="G15" s="528">
        <v>12</v>
      </c>
      <c r="H15" s="529">
        <f>D15*$H$7*G15</f>
        <v>0</v>
      </c>
      <c r="I15" s="528">
        <f>G15</f>
        <v>12</v>
      </c>
      <c r="J15" s="541">
        <f>D15*$H$7*$J$7*I15</f>
        <v>0</v>
      </c>
      <c r="K15" s="528">
        <f>G15</f>
        <v>12</v>
      </c>
      <c r="L15" s="541">
        <f>D15*$H$7*$J$7*$L$7*K15</f>
        <v>0</v>
      </c>
      <c r="M15" s="541">
        <v>6</v>
      </c>
      <c r="N15" s="596">
        <f>D15*M15</f>
        <v>0</v>
      </c>
      <c r="O15" s="716">
        <f>E15+G15+I15+K15+M15</f>
        <v>47</v>
      </c>
      <c r="P15" s="528">
        <f>F15+H15+J15+L15+N15</f>
        <v>0</v>
      </c>
      <c r="Q15" s="530" t="b">
        <f t="shared" ref="Q15:Q46" si="2">((D15*E15*$F$7)+(G15*D15*$H$7)+(D15*I15*$J$7^2)+(D15*K15*$L$7^3))=P15</f>
        <v>1</v>
      </c>
      <c r="R15" s="531"/>
      <c r="U15" s="532">
        <f t="shared" ref="U15:U21" si="3">F15</f>
        <v>0</v>
      </c>
      <c r="V15" s="522" t="s">
        <v>416</v>
      </c>
      <c r="W15" s="533">
        <f t="shared" ref="W15:W21" si="4">H15</f>
        <v>0</v>
      </c>
      <c r="X15" s="522" t="s">
        <v>79</v>
      </c>
      <c r="Y15" s="533">
        <f t="shared" ref="Y15:Y21" si="5">J15</f>
        <v>0</v>
      </c>
      <c r="Z15" s="522" t="s">
        <v>78</v>
      </c>
      <c r="AA15" s="533">
        <f t="shared" ref="AA15:AA21" si="6">L15</f>
        <v>0</v>
      </c>
      <c r="AB15" s="522" t="s">
        <v>77</v>
      </c>
      <c r="AC15" s="534">
        <f t="shared" ref="AC15:AC21" si="7">SUM(U15:AA15)</f>
        <v>0</v>
      </c>
      <c r="AD15" s="535"/>
      <c r="AE15" s="536">
        <f t="shared" ref="AE15:AE21" si="8">U15/$AG$6</f>
        <v>0</v>
      </c>
      <c r="AF15" s="533">
        <f t="shared" ref="AF15:AF21" si="9">W15/$AG$6</f>
        <v>0</v>
      </c>
      <c r="AG15" s="533">
        <f t="shared" ref="AG15:AG21" si="10">Y15/$AG$6</f>
        <v>0</v>
      </c>
      <c r="AH15" s="533">
        <f t="shared" ref="AH15:AH21" si="11">AA15/$AG$6</f>
        <v>0</v>
      </c>
      <c r="AI15" s="534">
        <f t="shared" ref="AI15:AI21" si="12">SUM(AE15:AH15)</f>
        <v>0</v>
      </c>
      <c r="AK15" s="537">
        <f t="shared" ref="AK15:AK21" si="13">AE15*$AM$6</f>
        <v>0</v>
      </c>
      <c r="AL15" s="538">
        <f t="shared" ref="AL15:AL21" si="14">AF15*$AM$6</f>
        <v>0</v>
      </c>
      <c r="AM15" s="538">
        <f t="shared" ref="AM15:AM21" si="15">AG15*$AM$6</f>
        <v>0</v>
      </c>
      <c r="AN15" s="538">
        <f t="shared" ref="AN15:AN21" si="16">AH15*$AM$6</f>
        <v>0</v>
      </c>
      <c r="AO15" s="539">
        <f t="shared" ref="AO15:AO21" si="17">SUM(AK15:AN15)</f>
        <v>0</v>
      </c>
    </row>
    <row r="16" spans="1:41" s="447" customFormat="1" ht="14.25" customHeight="1">
      <c r="B16" s="526"/>
      <c r="C16" s="527" t="s">
        <v>82</v>
      </c>
      <c r="D16" s="528"/>
      <c r="E16" s="527">
        <v>5</v>
      </c>
      <c r="F16" s="529">
        <f t="shared" ref="F16:F19" si="18">E16*D16</f>
        <v>0</v>
      </c>
      <c r="G16" s="528">
        <v>12</v>
      </c>
      <c r="H16" s="529">
        <f t="shared" ref="H16:H20" si="19">D16*$H$7*G16</f>
        <v>0</v>
      </c>
      <c r="I16" s="528">
        <f t="shared" ref="I16:I20" si="20">G16</f>
        <v>12</v>
      </c>
      <c r="J16" s="541">
        <f t="shared" ref="J16:J20" si="21">D16*$H$7*$J$7*I16</f>
        <v>0</v>
      </c>
      <c r="K16" s="528">
        <f t="shared" ref="K16:K19" si="22">G16</f>
        <v>12</v>
      </c>
      <c r="L16" s="541">
        <f t="shared" ref="L16:L19" si="23">D16*$H$7*$J$7*$L$7*K16</f>
        <v>0</v>
      </c>
      <c r="M16" s="541">
        <v>6</v>
      </c>
      <c r="N16" s="596">
        <f>D16*M16</f>
        <v>0</v>
      </c>
      <c r="O16" s="716">
        <f t="shared" ref="O16:O20" si="24">E16+G16+I16+K16+M16</f>
        <v>47</v>
      </c>
      <c r="P16" s="528">
        <f>F16+H16+J16+L16+N16</f>
        <v>0</v>
      </c>
      <c r="Q16" s="530" t="b">
        <f t="shared" si="2"/>
        <v>1</v>
      </c>
      <c r="R16" s="531"/>
      <c r="U16" s="532">
        <f t="shared" si="3"/>
        <v>0</v>
      </c>
      <c r="V16" s="522" t="s">
        <v>79</v>
      </c>
      <c r="W16" s="533">
        <f t="shared" si="4"/>
        <v>0</v>
      </c>
      <c r="X16" s="522" t="s">
        <v>78</v>
      </c>
      <c r="Y16" s="533">
        <f t="shared" si="5"/>
        <v>0</v>
      </c>
      <c r="Z16" s="522" t="s">
        <v>77</v>
      </c>
      <c r="AA16" s="533">
        <f t="shared" si="6"/>
        <v>0</v>
      </c>
      <c r="AB16" s="522" t="s">
        <v>76</v>
      </c>
      <c r="AC16" s="534">
        <f t="shared" si="7"/>
        <v>0</v>
      </c>
      <c r="AD16" s="535"/>
      <c r="AE16" s="536">
        <f t="shared" si="8"/>
        <v>0</v>
      </c>
      <c r="AF16" s="533">
        <f t="shared" si="9"/>
        <v>0</v>
      </c>
      <c r="AG16" s="533">
        <f t="shared" si="10"/>
        <v>0</v>
      </c>
      <c r="AH16" s="533">
        <f t="shared" si="11"/>
        <v>0</v>
      </c>
      <c r="AI16" s="534">
        <f t="shared" si="12"/>
        <v>0</v>
      </c>
      <c r="AK16" s="537">
        <f t="shared" si="13"/>
        <v>0</v>
      </c>
      <c r="AL16" s="538">
        <f t="shared" si="14"/>
        <v>0</v>
      </c>
      <c r="AM16" s="538">
        <f t="shared" si="15"/>
        <v>0</v>
      </c>
      <c r="AN16" s="538">
        <f t="shared" si="16"/>
        <v>0</v>
      </c>
      <c r="AO16" s="539">
        <f t="shared" si="17"/>
        <v>0</v>
      </c>
    </row>
    <row r="17" spans="1:47" s="447" customFormat="1" ht="14.25" customHeight="1">
      <c r="B17" s="526"/>
      <c r="C17" s="527" t="s">
        <v>82</v>
      </c>
      <c r="D17" s="528"/>
      <c r="E17" s="527">
        <v>5</v>
      </c>
      <c r="F17" s="529">
        <f t="shared" si="18"/>
        <v>0</v>
      </c>
      <c r="G17" s="528">
        <v>12</v>
      </c>
      <c r="H17" s="529">
        <f t="shared" si="19"/>
        <v>0</v>
      </c>
      <c r="I17" s="528">
        <f t="shared" si="20"/>
        <v>12</v>
      </c>
      <c r="J17" s="541">
        <f t="shared" si="21"/>
        <v>0</v>
      </c>
      <c r="K17" s="528">
        <f t="shared" si="22"/>
        <v>12</v>
      </c>
      <c r="L17" s="541">
        <f t="shared" si="23"/>
        <v>0</v>
      </c>
      <c r="M17" s="541">
        <v>6</v>
      </c>
      <c r="N17" s="596">
        <f t="shared" ref="N17:N29" si="25">D17*M17</f>
        <v>0</v>
      </c>
      <c r="O17" s="716">
        <f t="shared" si="24"/>
        <v>47</v>
      </c>
      <c r="P17" s="528">
        <f>F17+H17+J17+L17+N17</f>
        <v>0</v>
      </c>
      <c r="Q17" s="530"/>
      <c r="R17" s="531"/>
      <c r="U17" s="532"/>
      <c r="V17" s="522"/>
      <c r="W17" s="533"/>
      <c r="X17" s="522"/>
      <c r="Y17" s="533"/>
      <c r="Z17" s="522"/>
      <c r="AA17" s="533"/>
      <c r="AB17" s="522"/>
      <c r="AC17" s="534"/>
      <c r="AD17" s="535"/>
      <c r="AE17" s="536"/>
      <c r="AF17" s="533"/>
      <c r="AG17" s="533"/>
      <c r="AH17" s="533"/>
      <c r="AI17" s="534"/>
      <c r="AK17" s="537"/>
      <c r="AL17" s="538"/>
      <c r="AM17" s="538"/>
      <c r="AN17" s="538"/>
      <c r="AO17" s="539"/>
    </row>
    <row r="18" spans="1:47" s="447" customFormat="1" ht="14.25" customHeight="1">
      <c r="B18" s="526"/>
      <c r="C18" s="527" t="s">
        <v>82</v>
      </c>
      <c r="D18" s="528"/>
      <c r="E18" s="527">
        <v>5</v>
      </c>
      <c r="F18" s="529">
        <f t="shared" si="18"/>
        <v>0</v>
      </c>
      <c r="G18" s="528">
        <v>12</v>
      </c>
      <c r="H18" s="529">
        <f t="shared" si="19"/>
        <v>0</v>
      </c>
      <c r="I18" s="528">
        <f t="shared" si="20"/>
        <v>12</v>
      </c>
      <c r="J18" s="541">
        <f t="shared" si="21"/>
        <v>0</v>
      </c>
      <c r="K18" s="528">
        <f t="shared" si="22"/>
        <v>12</v>
      </c>
      <c r="L18" s="541">
        <f t="shared" si="23"/>
        <v>0</v>
      </c>
      <c r="M18" s="541">
        <v>6</v>
      </c>
      <c r="N18" s="596">
        <f t="shared" si="25"/>
        <v>0</v>
      </c>
      <c r="O18" s="716">
        <f t="shared" si="24"/>
        <v>47</v>
      </c>
      <c r="P18" s="528">
        <f t="shared" ref="P18:P20" si="26">F18+H18+J18+L18+N18</f>
        <v>0</v>
      </c>
      <c r="Q18" s="530" t="b">
        <f t="shared" si="2"/>
        <v>1</v>
      </c>
      <c r="R18" s="531"/>
      <c r="U18" s="532">
        <f t="shared" si="3"/>
        <v>0</v>
      </c>
      <c r="V18" s="522" t="s">
        <v>78</v>
      </c>
      <c r="W18" s="533">
        <f t="shared" si="4"/>
        <v>0</v>
      </c>
      <c r="X18" s="522" t="s">
        <v>77</v>
      </c>
      <c r="Y18" s="533">
        <f t="shared" si="5"/>
        <v>0</v>
      </c>
      <c r="Z18" s="522" t="s">
        <v>76</v>
      </c>
      <c r="AA18" s="533">
        <f t="shared" si="6"/>
        <v>0</v>
      </c>
      <c r="AB18" s="522" t="s">
        <v>417</v>
      </c>
      <c r="AC18" s="534">
        <f t="shared" si="7"/>
        <v>0</v>
      </c>
      <c r="AD18" s="535"/>
      <c r="AE18" s="536">
        <f t="shared" si="8"/>
        <v>0</v>
      </c>
      <c r="AF18" s="533">
        <f t="shared" si="9"/>
        <v>0</v>
      </c>
      <c r="AG18" s="533">
        <f t="shared" si="10"/>
        <v>0</v>
      </c>
      <c r="AH18" s="533">
        <f t="shared" si="11"/>
        <v>0</v>
      </c>
      <c r="AI18" s="534">
        <f t="shared" si="12"/>
        <v>0</v>
      </c>
      <c r="AK18" s="537">
        <f t="shared" si="13"/>
        <v>0</v>
      </c>
      <c r="AL18" s="538">
        <f t="shared" si="14"/>
        <v>0</v>
      </c>
      <c r="AM18" s="538">
        <f t="shared" si="15"/>
        <v>0</v>
      </c>
      <c r="AN18" s="538">
        <f t="shared" si="16"/>
        <v>0</v>
      </c>
      <c r="AO18" s="539">
        <f t="shared" si="17"/>
        <v>0</v>
      </c>
    </row>
    <row r="19" spans="1:47" s="447" customFormat="1" ht="14.25" customHeight="1">
      <c r="B19" s="526"/>
      <c r="C19" s="527" t="s">
        <v>82</v>
      </c>
      <c r="D19" s="528"/>
      <c r="E19" s="527">
        <v>5</v>
      </c>
      <c r="F19" s="529">
        <f t="shared" si="18"/>
        <v>0</v>
      </c>
      <c r="G19" s="528">
        <v>12</v>
      </c>
      <c r="H19" s="529">
        <f t="shared" si="19"/>
        <v>0</v>
      </c>
      <c r="I19" s="528">
        <f t="shared" si="20"/>
        <v>12</v>
      </c>
      <c r="J19" s="541">
        <f t="shared" si="21"/>
        <v>0</v>
      </c>
      <c r="K19" s="528">
        <f t="shared" si="22"/>
        <v>12</v>
      </c>
      <c r="L19" s="541">
        <f t="shared" si="23"/>
        <v>0</v>
      </c>
      <c r="M19" s="541">
        <v>6</v>
      </c>
      <c r="N19" s="596">
        <f t="shared" si="25"/>
        <v>0</v>
      </c>
      <c r="O19" s="716">
        <f t="shared" si="24"/>
        <v>47</v>
      </c>
      <c r="P19" s="528">
        <f t="shared" si="26"/>
        <v>0</v>
      </c>
      <c r="Q19" s="530"/>
      <c r="R19" s="531"/>
      <c r="U19" s="532"/>
      <c r="V19" s="522"/>
      <c r="W19" s="533"/>
      <c r="X19" s="522"/>
      <c r="Y19" s="533"/>
      <c r="Z19" s="522"/>
      <c r="AA19" s="533"/>
      <c r="AB19" s="522"/>
      <c r="AC19" s="534"/>
      <c r="AD19" s="535"/>
      <c r="AE19" s="536"/>
      <c r="AF19" s="533"/>
      <c r="AG19" s="533"/>
      <c r="AH19" s="533"/>
      <c r="AI19" s="534"/>
      <c r="AK19" s="537"/>
      <c r="AL19" s="538"/>
      <c r="AM19" s="538"/>
      <c r="AN19" s="538"/>
      <c r="AO19" s="539"/>
    </row>
    <row r="20" spans="1:47" s="447" customFormat="1" ht="14.25" customHeight="1">
      <c r="B20" s="526"/>
      <c r="C20" s="527" t="s">
        <v>82</v>
      </c>
      <c r="D20" s="528"/>
      <c r="E20" s="527"/>
      <c r="F20" s="529">
        <f>E20*D20</f>
        <v>0</v>
      </c>
      <c r="G20" s="528">
        <v>12</v>
      </c>
      <c r="H20" s="529">
        <f t="shared" si="19"/>
        <v>0</v>
      </c>
      <c r="I20" s="528">
        <f t="shared" si="20"/>
        <v>12</v>
      </c>
      <c r="J20" s="541">
        <f t="shared" si="21"/>
        <v>0</v>
      </c>
      <c r="K20" s="528">
        <f>G20</f>
        <v>12</v>
      </c>
      <c r="L20" s="541">
        <f>D20*$H$7*$J$7*$L$7*K20</f>
        <v>0</v>
      </c>
      <c r="M20" s="541">
        <v>6</v>
      </c>
      <c r="N20" s="596">
        <f t="shared" si="25"/>
        <v>0</v>
      </c>
      <c r="O20" s="716">
        <f t="shared" si="24"/>
        <v>42</v>
      </c>
      <c r="P20" s="528">
        <f t="shared" si="26"/>
        <v>0</v>
      </c>
      <c r="Q20" s="530"/>
      <c r="R20" s="531"/>
      <c r="U20" s="532"/>
      <c r="V20" s="522"/>
      <c r="W20" s="533"/>
      <c r="X20" s="522"/>
      <c r="Y20" s="533"/>
      <c r="Z20" s="522"/>
      <c r="AA20" s="533"/>
      <c r="AB20" s="522"/>
      <c r="AC20" s="534"/>
      <c r="AD20" s="535"/>
      <c r="AE20" s="536"/>
      <c r="AF20" s="533"/>
      <c r="AG20" s="533"/>
      <c r="AH20" s="533"/>
      <c r="AI20" s="534"/>
      <c r="AK20" s="537"/>
      <c r="AL20" s="538"/>
      <c r="AM20" s="538"/>
      <c r="AN20" s="538"/>
      <c r="AO20" s="539"/>
    </row>
    <row r="21" spans="1:47" ht="14.25" customHeight="1">
      <c r="B21" s="517" t="s">
        <v>89</v>
      </c>
      <c r="C21" s="518"/>
      <c r="D21" s="519">
        <f>SUBTOTAL(9,D22:D31)</f>
        <v>0</v>
      </c>
      <c r="E21" s="519">
        <f>SUBTOTAL(9,E22:E31)</f>
        <v>45</v>
      </c>
      <c r="F21" s="519">
        <f>SUBTOTAL(9,F22:F31)</f>
        <v>0</v>
      </c>
      <c r="G21" s="519">
        <f>SUBTOTAL(9,G22:G31)</f>
        <v>97</v>
      </c>
      <c r="H21" s="519">
        <f t="shared" ref="H21" si="27">SUBTOTAL(9,H22:H31)</f>
        <v>0</v>
      </c>
      <c r="I21" s="519">
        <f t="shared" ref="I21" si="28">SUBTOTAL(9,I22:I31)</f>
        <v>96</v>
      </c>
      <c r="J21" s="519">
        <f t="shared" ref="J21" si="29">SUBTOTAL(9,J22:J31)</f>
        <v>0</v>
      </c>
      <c r="K21" s="519">
        <f t="shared" ref="K21" si="30">SUBTOTAL(9,K22:K31)</f>
        <v>96</v>
      </c>
      <c r="L21" s="519">
        <f t="shared" ref="L21:M21" si="31">SUBTOTAL(9,L22:L31)</f>
        <v>0</v>
      </c>
      <c r="M21" s="519">
        <f t="shared" si="31"/>
        <v>48</v>
      </c>
      <c r="N21" s="519">
        <f>SUBTOTAL(9,N22:N31)</f>
        <v>0</v>
      </c>
      <c r="O21" s="519">
        <f>SUBTOTAL(9,O22:O31)</f>
        <v>382</v>
      </c>
      <c r="P21" s="519">
        <f>SUBTOTAL(9,P22:P30)</f>
        <v>0</v>
      </c>
      <c r="Q21" s="540"/>
      <c r="R21" s="521"/>
      <c r="U21" s="532">
        <f t="shared" si="3"/>
        <v>0</v>
      </c>
      <c r="V21" s="522" t="s">
        <v>417</v>
      </c>
      <c r="W21" s="533">
        <f t="shared" si="4"/>
        <v>0</v>
      </c>
      <c r="X21" s="522" t="s">
        <v>76</v>
      </c>
      <c r="Y21" s="533">
        <f t="shared" si="5"/>
        <v>0</v>
      </c>
      <c r="Z21" s="522" t="s">
        <v>77</v>
      </c>
      <c r="AA21" s="533">
        <f t="shared" si="6"/>
        <v>0</v>
      </c>
      <c r="AB21" s="522" t="s">
        <v>78</v>
      </c>
      <c r="AC21" s="534">
        <f t="shared" si="7"/>
        <v>0</v>
      </c>
      <c r="AD21" s="535"/>
      <c r="AE21" s="536">
        <f t="shared" si="8"/>
        <v>0</v>
      </c>
      <c r="AF21" s="533">
        <f t="shared" si="9"/>
        <v>0</v>
      </c>
      <c r="AG21" s="533">
        <f t="shared" si="10"/>
        <v>0</v>
      </c>
      <c r="AH21" s="533">
        <f t="shared" si="11"/>
        <v>0</v>
      </c>
      <c r="AI21" s="534">
        <f t="shared" si="12"/>
        <v>0</v>
      </c>
      <c r="AK21" s="537">
        <f t="shared" si="13"/>
        <v>0</v>
      </c>
      <c r="AL21" s="538">
        <f t="shared" si="14"/>
        <v>0</v>
      </c>
      <c r="AM21" s="538">
        <f t="shared" si="15"/>
        <v>0</v>
      </c>
      <c r="AN21" s="538">
        <f t="shared" si="16"/>
        <v>0</v>
      </c>
      <c r="AO21" s="539">
        <f t="shared" si="17"/>
        <v>0</v>
      </c>
    </row>
    <row r="22" spans="1:47" s="447" customFormat="1" ht="14.5" customHeight="1">
      <c r="A22" s="447" t="s">
        <v>90</v>
      </c>
      <c r="B22" s="526"/>
      <c r="C22" s="527" t="s">
        <v>82</v>
      </c>
      <c r="D22" s="528"/>
      <c r="E22" s="527">
        <v>5</v>
      </c>
      <c r="F22" s="541">
        <f t="shared" ref="F22:F31" si="32">E22*D22</f>
        <v>0</v>
      </c>
      <c r="G22" s="528">
        <v>12</v>
      </c>
      <c r="H22" s="529">
        <f t="shared" ref="H22:H30" si="33">D22*$H$7*G22</f>
        <v>0</v>
      </c>
      <c r="I22" s="527">
        <v>12</v>
      </c>
      <c r="J22" s="541">
        <f>D22*$H$7*$J$7*I22</f>
        <v>0</v>
      </c>
      <c r="K22" s="527">
        <v>12</v>
      </c>
      <c r="L22" s="541">
        <f>D22*$H$7*$J$7*$L$7*K22</f>
        <v>0</v>
      </c>
      <c r="M22" s="541">
        <v>6</v>
      </c>
      <c r="N22" s="596">
        <f>D22*M22</f>
        <v>0</v>
      </c>
      <c r="O22" s="716">
        <f>E22+G22+I22+K22+M22</f>
        <v>47</v>
      </c>
      <c r="P22" s="528">
        <f>F22+H22+J22+L22+N22</f>
        <v>0</v>
      </c>
      <c r="Q22" s="530" t="b">
        <f t="shared" ref="Q22" si="34">((D22*E22*$F$7)+(G22*D22*$H$7)+(D22*I22*$J$7^2)+(D22*K22*$L$7^3))=P22</f>
        <v>1</v>
      </c>
      <c r="R22" s="531"/>
      <c r="U22" s="532">
        <f t="shared" ref="U22" si="35">F22</f>
        <v>0</v>
      </c>
      <c r="V22" s="522" t="s">
        <v>76</v>
      </c>
      <c r="W22" s="533">
        <f t="shared" ref="W22" si="36">H22</f>
        <v>0</v>
      </c>
      <c r="X22" s="522" t="s">
        <v>77</v>
      </c>
      <c r="Y22" s="533">
        <f t="shared" ref="Y22" si="37">J22</f>
        <v>0</v>
      </c>
      <c r="Z22" s="522" t="s">
        <v>78</v>
      </c>
      <c r="AA22" s="533">
        <f t="shared" ref="AA22" si="38">L22</f>
        <v>0</v>
      </c>
      <c r="AB22" s="522" t="s">
        <v>79</v>
      </c>
      <c r="AC22" s="534">
        <f>SUM(U22:AA22)</f>
        <v>0</v>
      </c>
      <c r="AD22" s="535"/>
      <c r="AE22" s="536">
        <f>U22/$AG$6</f>
        <v>0</v>
      </c>
      <c r="AF22" s="533">
        <f>W22/$AG$6</f>
        <v>0</v>
      </c>
      <c r="AG22" s="533">
        <f>Y22/$AG$6</f>
        <v>0</v>
      </c>
      <c r="AH22" s="533">
        <f>AA22/$AG$6</f>
        <v>0</v>
      </c>
      <c r="AI22" s="534">
        <f>SUM(AE22:AH22)</f>
        <v>0</v>
      </c>
      <c r="AK22" s="537">
        <f>AE22*$AM$6</f>
        <v>0</v>
      </c>
      <c r="AL22" s="538">
        <f>AF22*$AM$6</f>
        <v>0</v>
      </c>
      <c r="AM22" s="538">
        <f>AG22*$AM$6</f>
        <v>0</v>
      </c>
      <c r="AN22" s="538">
        <f>AH22*$AM$6</f>
        <v>0</v>
      </c>
      <c r="AO22" s="539">
        <f>SUM(AK22:AN22)</f>
        <v>0</v>
      </c>
      <c r="AP22" s="542"/>
      <c r="AR22" s="543"/>
      <c r="AT22" s="535"/>
      <c r="AU22" s="535">
        <f>AT22-F22</f>
        <v>0</v>
      </c>
    </row>
    <row r="23" spans="1:47" s="447" customFormat="1" ht="16.5" customHeight="1">
      <c r="B23" s="526"/>
      <c r="C23" s="527" t="s">
        <v>82</v>
      </c>
      <c r="D23" s="528"/>
      <c r="E23" s="527">
        <v>5</v>
      </c>
      <c r="F23" s="541">
        <f t="shared" si="32"/>
        <v>0</v>
      </c>
      <c r="G23" s="528">
        <v>1</v>
      </c>
      <c r="H23" s="529">
        <f t="shared" si="33"/>
        <v>0</v>
      </c>
      <c r="I23" s="527">
        <v>0</v>
      </c>
      <c r="J23" s="541">
        <f t="shared" ref="J23:J30" si="39">D23*$H$7*$J$7*I23</f>
        <v>0</v>
      </c>
      <c r="K23" s="527">
        <v>0</v>
      </c>
      <c r="L23" s="541">
        <f t="shared" ref="L23:L30" si="40">D23*$H$7*$J$7*$L$7*K23</f>
        <v>0</v>
      </c>
      <c r="M23" s="541"/>
      <c r="N23" s="596">
        <f t="shared" si="25"/>
        <v>0</v>
      </c>
      <c r="O23" s="716">
        <f t="shared" ref="O23:O30" si="41">E23+G23+I23+K23+M23</f>
        <v>6</v>
      </c>
      <c r="P23" s="528">
        <f t="shared" ref="P23:P30" si="42">F23+H23+J23+L23+N23</f>
        <v>0</v>
      </c>
      <c r="Q23" s="530"/>
      <c r="R23" s="531"/>
      <c r="U23" s="532"/>
      <c r="V23" s="522"/>
      <c r="W23" s="533"/>
      <c r="X23" s="522"/>
      <c r="Y23" s="533"/>
      <c r="Z23" s="522"/>
      <c r="AA23" s="533"/>
      <c r="AB23" s="522"/>
      <c r="AC23" s="534"/>
      <c r="AD23" s="535"/>
      <c r="AE23" s="536"/>
      <c r="AF23" s="533"/>
      <c r="AG23" s="533"/>
      <c r="AH23" s="533"/>
      <c r="AI23" s="534"/>
      <c r="AK23" s="537"/>
      <c r="AL23" s="538"/>
      <c r="AM23" s="538"/>
      <c r="AN23" s="538"/>
      <c r="AO23" s="539"/>
      <c r="AP23" s="542"/>
      <c r="AR23" s="543"/>
    </row>
    <row r="24" spans="1:47" s="447" customFormat="1" ht="15.65" customHeight="1">
      <c r="B24" s="526"/>
      <c r="C24" s="527" t="s">
        <v>82</v>
      </c>
      <c r="D24" s="528"/>
      <c r="E24" s="527">
        <v>5</v>
      </c>
      <c r="F24" s="541">
        <f t="shared" si="32"/>
        <v>0</v>
      </c>
      <c r="G24" s="528">
        <v>12</v>
      </c>
      <c r="H24" s="529">
        <f t="shared" si="33"/>
        <v>0</v>
      </c>
      <c r="I24" s="527">
        <v>12</v>
      </c>
      <c r="J24" s="541">
        <f t="shared" si="39"/>
        <v>0</v>
      </c>
      <c r="K24" s="527">
        <v>12</v>
      </c>
      <c r="L24" s="541">
        <f t="shared" si="40"/>
        <v>0</v>
      </c>
      <c r="M24" s="541">
        <v>6</v>
      </c>
      <c r="N24" s="596">
        <f t="shared" si="25"/>
        <v>0</v>
      </c>
      <c r="O24" s="716">
        <f>E24+G24+I24+K24+M24</f>
        <v>47</v>
      </c>
      <c r="P24" s="528">
        <f t="shared" si="42"/>
        <v>0</v>
      </c>
      <c r="Q24" s="530"/>
      <c r="R24" s="531"/>
      <c r="U24" s="532"/>
      <c r="V24" s="522"/>
      <c r="W24" s="533"/>
      <c r="X24" s="522"/>
      <c r="Y24" s="533"/>
      <c r="Z24" s="522"/>
      <c r="AA24" s="533"/>
      <c r="AB24" s="522"/>
      <c r="AC24" s="534"/>
      <c r="AD24" s="535"/>
      <c r="AE24" s="536"/>
      <c r="AF24" s="533"/>
      <c r="AG24" s="533"/>
      <c r="AH24" s="533"/>
      <c r="AI24" s="534"/>
      <c r="AK24" s="537"/>
      <c r="AL24" s="538"/>
      <c r="AM24" s="538"/>
      <c r="AN24" s="538"/>
      <c r="AO24" s="539"/>
      <c r="AP24" s="542"/>
      <c r="AR24" s="543"/>
    </row>
    <row r="25" spans="1:47" s="447" customFormat="1" ht="17.149999999999999" customHeight="1">
      <c r="B25" s="526"/>
      <c r="C25" s="527" t="s">
        <v>82</v>
      </c>
      <c r="D25" s="528"/>
      <c r="E25" s="527">
        <v>5</v>
      </c>
      <c r="F25" s="541">
        <f>E25*D25</f>
        <v>0</v>
      </c>
      <c r="G25" s="528">
        <v>12</v>
      </c>
      <c r="H25" s="529">
        <f>D25*$H$7*G25</f>
        <v>0</v>
      </c>
      <c r="I25" s="527">
        <v>12</v>
      </c>
      <c r="J25" s="541">
        <f t="shared" si="39"/>
        <v>0</v>
      </c>
      <c r="K25" s="527">
        <v>12</v>
      </c>
      <c r="L25" s="541">
        <f t="shared" si="40"/>
        <v>0</v>
      </c>
      <c r="M25" s="541">
        <v>6</v>
      </c>
      <c r="N25" s="596">
        <f t="shared" si="25"/>
        <v>0</v>
      </c>
      <c r="O25" s="716">
        <f t="shared" si="41"/>
        <v>47</v>
      </c>
      <c r="P25" s="528">
        <f t="shared" si="42"/>
        <v>0</v>
      </c>
      <c r="Q25" s="530"/>
      <c r="R25" s="531"/>
      <c r="U25" s="532"/>
      <c r="V25" s="522"/>
      <c r="W25" s="533"/>
      <c r="X25" s="522"/>
      <c r="Y25" s="533"/>
      <c r="Z25" s="522"/>
      <c r="AA25" s="533"/>
      <c r="AB25" s="522"/>
      <c r="AC25" s="534"/>
      <c r="AD25" s="535"/>
      <c r="AE25" s="536"/>
      <c r="AF25" s="533"/>
      <c r="AG25" s="533"/>
      <c r="AH25" s="533"/>
      <c r="AI25" s="534"/>
      <c r="AK25" s="537"/>
      <c r="AL25" s="538"/>
      <c r="AM25" s="538"/>
      <c r="AN25" s="538"/>
      <c r="AO25" s="539"/>
      <c r="AP25" s="542"/>
      <c r="AR25" s="543"/>
    </row>
    <row r="26" spans="1:47" s="447" customFormat="1" ht="15.65" customHeight="1">
      <c r="B26" s="526"/>
      <c r="C26" s="527" t="s">
        <v>82</v>
      </c>
      <c r="D26" s="528"/>
      <c r="E26" s="527">
        <v>5</v>
      </c>
      <c r="F26" s="541">
        <f t="shared" si="32"/>
        <v>0</v>
      </c>
      <c r="G26" s="528">
        <v>12</v>
      </c>
      <c r="H26" s="529">
        <f t="shared" si="33"/>
        <v>0</v>
      </c>
      <c r="I26" s="527">
        <v>12</v>
      </c>
      <c r="J26" s="541">
        <f t="shared" si="39"/>
        <v>0</v>
      </c>
      <c r="K26" s="527">
        <v>12</v>
      </c>
      <c r="L26" s="541">
        <f t="shared" si="40"/>
        <v>0</v>
      </c>
      <c r="M26" s="541">
        <v>6</v>
      </c>
      <c r="N26" s="596">
        <f t="shared" si="25"/>
        <v>0</v>
      </c>
      <c r="O26" s="716">
        <f t="shared" si="41"/>
        <v>47</v>
      </c>
      <c r="P26" s="528">
        <f t="shared" si="42"/>
        <v>0</v>
      </c>
      <c r="Q26" s="530"/>
      <c r="R26" s="531"/>
      <c r="U26" s="532"/>
      <c r="V26" s="522"/>
      <c r="W26" s="533"/>
      <c r="X26" s="522"/>
      <c r="Y26" s="533"/>
      <c r="Z26" s="522"/>
      <c r="AA26" s="533"/>
      <c r="AB26" s="522"/>
      <c r="AC26" s="534"/>
      <c r="AD26" s="535"/>
      <c r="AE26" s="536"/>
      <c r="AF26" s="533"/>
      <c r="AG26" s="533"/>
      <c r="AH26" s="533"/>
      <c r="AI26" s="534"/>
      <c r="AK26" s="537"/>
      <c r="AL26" s="538"/>
      <c r="AM26" s="538"/>
      <c r="AN26" s="538"/>
      <c r="AO26" s="539"/>
      <c r="AP26" s="542"/>
      <c r="AR26" s="543"/>
    </row>
    <row r="27" spans="1:47" s="447" customFormat="1" ht="21.65" customHeight="1">
      <c r="B27" s="526"/>
      <c r="C27" s="527" t="s">
        <v>82</v>
      </c>
      <c r="D27" s="528"/>
      <c r="E27" s="527">
        <v>5</v>
      </c>
      <c r="F27" s="541">
        <f t="shared" si="32"/>
        <v>0</v>
      </c>
      <c r="G27" s="528">
        <v>12</v>
      </c>
      <c r="H27" s="529">
        <f t="shared" si="33"/>
        <v>0</v>
      </c>
      <c r="I27" s="527">
        <v>12</v>
      </c>
      <c r="J27" s="541">
        <f t="shared" si="39"/>
        <v>0</v>
      </c>
      <c r="K27" s="527">
        <v>12</v>
      </c>
      <c r="L27" s="541">
        <f t="shared" si="40"/>
        <v>0</v>
      </c>
      <c r="M27" s="541">
        <v>6</v>
      </c>
      <c r="N27" s="596">
        <f t="shared" si="25"/>
        <v>0</v>
      </c>
      <c r="O27" s="716">
        <f t="shared" si="41"/>
        <v>47</v>
      </c>
      <c r="P27" s="528">
        <f t="shared" si="42"/>
        <v>0</v>
      </c>
      <c r="Q27" s="530"/>
      <c r="R27" s="531"/>
      <c r="U27" s="532"/>
      <c r="V27" s="522"/>
      <c r="W27" s="533"/>
      <c r="X27" s="522"/>
      <c r="Y27" s="533"/>
      <c r="Z27" s="522"/>
      <c r="AA27" s="533"/>
      <c r="AB27" s="522"/>
      <c r="AC27" s="534"/>
      <c r="AD27" s="535"/>
      <c r="AE27" s="536"/>
      <c r="AF27" s="533"/>
      <c r="AG27" s="533"/>
      <c r="AH27" s="533"/>
      <c r="AI27" s="534"/>
      <c r="AK27" s="537"/>
      <c r="AL27" s="538"/>
      <c r="AM27" s="538"/>
      <c r="AN27" s="538"/>
      <c r="AO27" s="539"/>
      <c r="AP27" s="542"/>
      <c r="AR27" s="543"/>
    </row>
    <row r="28" spans="1:47" s="447" customFormat="1" ht="19" customHeight="1">
      <c r="B28" s="526"/>
      <c r="C28" s="527" t="s">
        <v>82</v>
      </c>
      <c r="D28" s="528"/>
      <c r="E28" s="527">
        <v>5</v>
      </c>
      <c r="F28" s="541">
        <f t="shared" si="32"/>
        <v>0</v>
      </c>
      <c r="G28" s="528">
        <v>12</v>
      </c>
      <c r="H28" s="529">
        <f t="shared" si="33"/>
        <v>0</v>
      </c>
      <c r="I28" s="527">
        <v>12</v>
      </c>
      <c r="J28" s="541">
        <f t="shared" si="39"/>
        <v>0</v>
      </c>
      <c r="K28" s="527">
        <v>12</v>
      </c>
      <c r="L28" s="541">
        <f t="shared" si="40"/>
        <v>0</v>
      </c>
      <c r="M28" s="541">
        <v>6</v>
      </c>
      <c r="N28" s="596">
        <f t="shared" si="25"/>
        <v>0</v>
      </c>
      <c r="O28" s="716">
        <f t="shared" si="41"/>
        <v>47</v>
      </c>
      <c r="P28" s="528">
        <f t="shared" si="42"/>
        <v>0</v>
      </c>
      <c r="Q28" s="530"/>
      <c r="R28" s="531"/>
      <c r="U28" s="532"/>
      <c r="V28" s="522"/>
      <c r="W28" s="533"/>
      <c r="X28" s="522"/>
      <c r="Y28" s="533"/>
      <c r="Z28" s="522"/>
      <c r="AA28" s="533"/>
      <c r="AB28" s="522"/>
      <c r="AC28" s="534"/>
      <c r="AD28" s="535"/>
      <c r="AE28" s="536"/>
      <c r="AF28" s="533"/>
      <c r="AG28" s="533"/>
      <c r="AH28" s="533"/>
      <c r="AI28" s="534"/>
      <c r="AK28" s="537"/>
      <c r="AL28" s="538"/>
      <c r="AM28" s="538"/>
      <c r="AN28" s="538"/>
      <c r="AO28" s="539"/>
      <c r="AP28" s="542"/>
      <c r="AR28" s="543"/>
    </row>
    <row r="29" spans="1:47" s="447" customFormat="1" ht="19" customHeight="1">
      <c r="B29" s="526"/>
      <c r="C29" s="527" t="s">
        <v>82</v>
      </c>
      <c r="D29" s="528"/>
      <c r="E29" s="527">
        <v>5</v>
      </c>
      <c r="F29" s="541">
        <f t="shared" si="32"/>
        <v>0</v>
      </c>
      <c r="G29" s="528">
        <v>12</v>
      </c>
      <c r="H29" s="529">
        <f t="shared" si="33"/>
        <v>0</v>
      </c>
      <c r="I29" s="527">
        <v>12</v>
      </c>
      <c r="J29" s="541">
        <f t="shared" si="39"/>
        <v>0</v>
      </c>
      <c r="K29" s="527">
        <v>12</v>
      </c>
      <c r="L29" s="541">
        <f t="shared" si="40"/>
        <v>0</v>
      </c>
      <c r="M29" s="541">
        <v>6</v>
      </c>
      <c r="N29" s="596">
        <f t="shared" si="25"/>
        <v>0</v>
      </c>
      <c r="O29" s="716">
        <f t="shared" si="41"/>
        <v>47</v>
      </c>
      <c r="P29" s="528">
        <f t="shared" si="42"/>
        <v>0</v>
      </c>
      <c r="Q29" s="530"/>
      <c r="R29" s="531"/>
      <c r="U29" s="532"/>
      <c r="V29" s="522"/>
      <c r="W29" s="533"/>
      <c r="X29" s="522"/>
      <c r="Y29" s="533"/>
      <c r="Z29" s="522"/>
      <c r="AA29" s="533"/>
      <c r="AB29" s="522"/>
      <c r="AC29" s="534"/>
      <c r="AD29" s="535"/>
      <c r="AE29" s="536"/>
      <c r="AF29" s="533"/>
      <c r="AG29" s="533"/>
      <c r="AH29" s="533"/>
      <c r="AI29" s="534"/>
      <c r="AK29" s="537"/>
      <c r="AL29" s="538"/>
      <c r="AM29" s="538"/>
      <c r="AN29" s="538"/>
      <c r="AO29" s="539"/>
      <c r="AP29" s="542"/>
      <c r="AR29" s="543"/>
    </row>
    <row r="30" spans="1:47" s="447" customFormat="1" ht="16.5" customHeight="1">
      <c r="B30" s="526"/>
      <c r="C30" s="527" t="s">
        <v>82</v>
      </c>
      <c r="D30" s="528"/>
      <c r="E30" s="527">
        <v>5</v>
      </c>
      <c r="F30" s="541">
        <f t="shared" si="32"/>
        <v>0</v>
      </c>
      <c r="G30" s="528">
        <v>12</v>
      </c>
      <c r="H30" s="529">
        <f t="shared" si="33"/>
        <v>0</v>
      </c>
      <c r="I30" s="527">
        <v>12</v>
      </c>
      <c r="J30" s="541">
        <f t="shared" si="39"/>
        <v>0</v>
      </c>
      <c r="K30" s="527">
        <v>12</v>
      </c>
      <c r="L30" s="541">
        <f t="shared" si="40"/>
        <v>0</v>
      </c>
      <c r="M30" s="541">
        <v>6</v>
      </c>
      <c r="N30" s="596">
        <f>D30*M30</f>
        <v>0</v>
      </c>
      <c r="O30" s="716">
        <f t="shared" si="41"/>
        <v>47</v>
      </c>
      <c r="P30" s="528">
        <f t="shared" si="42"/>
        <v>0</v>
      </c>
      <c r="Q30" s="530"/>
      <c r="R30" s="531"/>
      <c r="U30" s="532"/>
      <c r="V30" s="522"/>
      <c r="W30" s="533"/>
      <c r="X30" s="522"/>
      <c r="Y30" s="533"/>
      <c r="Z30" s="522"/>
      <c r="AA30" s="533"/>
      <c r="AB30" s="522"/>
      <c r="AC30" s="534"/>
      <c r="AD30" s="535"/>
      <c r="AE30" s="536"/>
      <c r="AF30" s="533"/>
      <c r="AG30" s="533"/>
      <c r="AH30" s="533"/>
      <c r="AI30" s="534"/>
      <c r="AK30" s="537"/>
      <c r="AL30" s="538"/>
      <c r="AM30" s="538"/>
      <c r="AN30" s="538"/>
      <c r="AO30" s="539"/>
      <c r="AP30" s="542"/>
      <c r="AR30" s="543"/>
    </row>
    <row r="31" spans="1:47" s="447" customFormat="1" ht="14.25" customHeight="1">
      <c r="B31" s="544"/>
      <c r="C31" s="527"/>
      <c r="D31" s="528"/>
      <c r="E31" s="527"/>
      <c r="F31" s="541">
        <f t="shared" si="32"/>
        <v>0</v>
      </c>
      <c r="G31" s="528"/>
      <c r="H31" s="529"/>
      <c r="I31" s="528"/>
      <c r="J31" s="541"/>
      <c r="K31" s="527"/>
      <c r="L31" s="717"/>
      <c r="M31" s="717"/>
      <c r="N31" s="717"/>
      <c r="O31" s="718"/>
      <c r="P31" s="719"/>
      <c r="Q31" s="530"/>
      <c r="R31" s="545"/>
      <c r="U31" s="532"/>
      <c r="V31" s="522"/>
      <c r="W31" s="533"/>
      <c r="X31" s="522"/>
      <c r="Y31" s="533"/>
      <c r="Z31" s="522"/>
      <c r="AA31" s="533"/>
      <c r="AB31" s="522"/>
      <c r="AC31" s="534"/>
      <c r="AD31" s="535"/>
      <c r="AE31" s="536"/>
      <c r="AF31" s="533"/>
      <c r="AG31" s="533"/>
      <c r="AH31" s="533"/>
      <c r="AI31" s="534"/>
      <c r="AK31" s="537"/>
      <c r="AL31" s="538"/>
      <c r="AM31" s="538"/>
      <c r="AN31" s="538"/>
      <c r="AO31" s="539"/>
      <c r="AP31" s="542"/>
    </row>
    <row r="32" spans="1:47" s="447" customFormat="1" ht="14.25" customHeight="1">
      <c r="B32" s="517"/>
      <c r="C32" s="518"/>
      <c r="D32" s="519"/>
      <c r="E32" s="518"/>
      <c r="F32" s="519"/>
      <c r="G32" s="518"/>
      <c r="H32" s="519"/>
      <c r="I32" s="518"/>
      <c r="J32" s="519"/>
      <c r="K32" s="518"/>
      <c r="L32" s="519"/>
      <c r="M32" s="519"/>
      <c r="N32" s="519"/>
      <c r="O32" s="518"/>
      <c r="P32" s="519"/>
      <c r="Q32" s="540"/>
      <c r="R32" s="546"/>
      <c r="U32" s="547"/>
      <c r="V32" s="522"/>
      <c r="W32" s="548"/>
      <c r="X32" s="522"/>
      <c r="Y32" s="548"/>
      <c r="Z32" s="522"/>
      <c r="AA32" s="548"/>
      <c r="AB32" s="522"/>
      <c r="AC32" s="549"/>
      <c r="AD32" s="535"/>
      <c r="AE32" s="550"/>
      <c r="AF32" s="551"/>
      <c r="AG32" s="551"/>
      <c r="AH32" s="551"/>
      <c r="AI32" s="552"/>
      <c r="AK32" s="553"/>
      <c r="AL32" s="554"/>
      <c r="AM32" s="554"/>
      <c r="AN32" s="554"/>
      <c r="AO32" s="555"/>
    </row>
    <row r="33" spans="1:44" s="442" customFormat="1" ht="14.25" customHeight="1">
      <c r="B33" s="517" t="s">
        <v>102</v>
      </c>
      <c r="C33" s="517"/>
      <c r="D33" s="519">
        <f t="shared" ref="D33:P33" si="43">SUBTOTAL(9,D14:D32)</f>
        <v>0</v>
      </c>
      <c r="E33" s="519">
        <f t="shared" si="43"/>
        <v>70</v>
      </c>
      <c r="F33" s="519">
        <f t="shared" si="43"/>
        <v>0</v>
      </c>
      <c r="G33" s="519">
        <f t="shared" si="43"/>
        <v>169</v>
      </c>
      <c r="H33" s="519">
        <f t="shared" si="43"/>
        <v>0</v>
      </c>
      <c r="I33" s="519">
        <f t="shared" si="43"/>
        <v>168</v>
      </c>
      <c r="J33" s="519">
        <f t="shared" si="43"/>
        <v>0</v>
      </c>
      <c r="K33" s="519">
        <f t="shared" si="43"/>
        <v>168</v>
      </c>
      <c r="L33" s="519">
        <f>SUBTOTAL(9,L14:L32)</f>
        <v>0</v>
      </c>
      <c r="M33" s="519">
        <f t="shared" ref="M33:N33" si="44">SUBTOTAL(9,M14:M32)</f>
        <v>84</v>
      </c>
      <c r="N33" s="519">
        <f t="shared" si="44"/>
        <v>0</v>
      </c>
      <c r="O33" s="519">
        <f t="shared" si="43"/>
        <v>659</v>
      </c>
      <c r="P33" s="519">
        <f t="shared" si="43"/>
        <v>0</v>
      </c>
      <c r="Q33" s="530" t="b">
        <f t="shared" si="2"/>
        <v>1</v>
      </c>
      <c r="R33" s="556"/>
      <c r="S33" s="557"/>
      <c r="T33" s="557"/>
      <c r="U33" s="504">
        <f>SUM(U15:U32)</f>
        <v>0</v>
      </c>
      <c r="V33" s="522" t="s">
        <v>76</v>
      </c>
      <c r="W33" s="504">
        <f t="shared" ref="W33:AC33" si="45">SUM(W15:W32)</f>
        <v>0</v>
      </c>
      <c r="X33" s="504">
        <f t="shared" si="45"/>
        <v>0</v>
      </c>
      <c r="Y33" s="504">
        <f t="shared" si="45"/>
        <v>0</v>
      </c>
      <c r="Z33" s="504">
        <f t="shared" si="45"/>
        <v>0</v>
      </c>
      <c r="AA33" s="504">
        <f t="shared" si="45"/>
        <v>0</v>
      </c>
      <c r="AB33" s="504">
        <f t="shared" si="45"/>
        <v>0</v>
      </c>
      <c r="AC33" s="504">
        <f t="shared" si="45"/>
        <v>0</v>
      </c>
      <c r="AD33" s="504"/>
      <c r="AE33" s="504">
        <f>SUM(AE15:AE32)</f>
        <v>0</v>
      </c>
      <c r="AF33" s="504">
        <f>SUM(AF15:AF32)</f>
        <v>0</v>
      </c>
      <c r="AG33" s="504">
        <f>SUM(AG15:AG32)</f>
        <v>0</v>
      </c>
      <c r="AH33" s="504">
        <f>SUM(AH15:AH32)</f>
        <v>0</v>
      </c>
      <c r="AI33" s="504">
        <f>SUM(AI15:AI32)</f>
        <v>0</v>
      </c>
      <c r="AJ33" s="504"/>
      <c r="AK33" s="504">
        <f>SUM(AK15:AK32)</f>
        <v>0</v>
      </c>
      <c r="AL33" s="504">
        <f>SUM(AL15:AL32)</f>
        <v>0</v>
      </c>
      <c r="AM33" s="504">
        <f>SUM(AM15:AM32)</f>
        <v>0</v>
      </c>
      <c r="AN33" s="504">
        <f>SUM(AN15:AN32)</f>
        <v>0</v>
      </c>
      <c r="AO33" s="504">
        <f>SUM(AO15:AO32)</f>
        <v>0</v>
      </c>
    </row>
    <row r="34" spans="1:44" s="447" customFormat="1" ht="14.25" customHeight="1">
      <c r="B34" s="544"/>
      <c r="C34" s="527"/>
      <c r="D34" s="528"/>
      <c r="E34" s="527"/>
      <c r="F34" s="541"/>
      <c r="G34" s="527"/>
      <c r="H34" s="541"/>
      <c r="I34" s="527"/>
      <c r="J34" s="541"/>
      <c r="K34" s="527"/>
      <c r="L34" s="541"/>
      <c r="M34" s="541"/>
      <c r="N34" s="541"/>
      <c r="O34" s="664"/>
      <c r="P34" s="528">
        <f>P33-P28-P27</f>
        <v>0</v>
      </c>
      <c r="Q34" s="530" t="b">
        <f t="shared" si="2"/>
        <v>1</v>
      </c>
      <c r="R34" s="558"/>
      <c r="U34" s="559"/>
      <c r="V34" s="522" t="s">
        <v>76</v>
      </c>
      <c r="W34" s="560"/>
      <c r="X34" s="522" t="s">
        <v>77</v>
      </c>
      <c r="Y34" s="560"/>
      <c r="Z34" s="522" t="s">
        <v>78</v>
      </c>
      <c r="AA34" s="560"/>
      <c r="AB34" s="522" t="s">
        <v>79</v>
      </c>
      <c r="AC34" s="561"/>
      <c r="AD34" s="535"/>
      <c r="AE34" s="536"/>
      <c r="AF34" s="533"/>
      <c r="AG34" s="533"/>
      <c r="AH34" s="533"/>
      <c r="AI34" s="534"/>
      <c r="AK34" s="537"/>
      <c r="AL34" s="562"/>
      <c r="AM34" s="562"/>
      <c r="AN34" s="562"/>
      <c r="AO34" s="539"/>
    </row>
    <row r="35" spans="1:44" ht="14.25" customHeight="1">
      <c r="B35" s="502" t="s">
        <v>418</v>
      </c>
      <c r="C35" s="503"/>
      <c r="D35" s="504"/>
      <c r="E35" s="503"/>
      <c r="F35" s="504"/>
      <c r="G35" s="503"/>
      <c r="H35" s="504"/>
      <c r="I35" s="503"/>
      <c r="J35" s="504"/>
      <c r="K35" s="503"/>
      <c r="L35" s="504"/>
      <c r="M35" s="504"/>
      <c r="N35" s="504"/>
      <c r="O35" s="503"/>
      <c r="P35" s="504"/>
      <c r="Q35" s="530" t="b">
        <f t="shared" si="2"/>
        <v>1</v>
      </c>
      <c r="R35" s="506"/>
      <c r="U35" s="563"/>
      <c r="V35" s="522" t="s">
        <v>76</v>
      </c>
      <c r="W35" s="564"/>
      <c r="X35" s="522" t="s">
        <v>77</v>
      </c>
      <c r="Y35" s="564"/>
      <c r="Z35" s="522" t="s">
        <v>78</v>
      </c>
      <c r="AA35" s="564"/>
      <c r="AB35" s="522" t="s">
        <v>79</v>
      </c>
      <c r="AC35" s="565"/>
      <c r="AD35" s="535"/>
      <c r="AE35" s="566"/>
      <c r="AF35" s="567"/>
      <c r="AG35" s="567"/>
      <c r="AH35" s="567"/>
      <c r="AI35" s="568"/>
      <c r="AK35" s="569"/>
      <c r="AL35" s="570"/>
      <c r="AM35" s="570"/>
      <c r="AN35" s="570"/>
      <c r="AO35" s="571"/>
    </row>
    <row r="36" spans="1:44" ht="14.25" customHeight="1">
      <c r="B36" s="572"/>
      <c r="C36" s="527" t="s">
        <v>114</v>
      </c>
      <c r="D36" s="528"/>
      <c r="E36" s="527"/>
      <c r="F36" s="541">
        <f t="shared" ref="F36:F37" si="46">E36*D36</f>
        <v>0</v>
      </c>
      <c r="G36" s="527"/>
      <c r="H36" s="541">
        <f>G36*D36*($H$7)^1</f>
        <v>0</v>
      </c>
      <c r="I36" s="527">
        <v>0</v>
      </c>
      <c r="J36" s="541">
        <f>D36*I36*($J$7)^2</f>
        <v>0</v>
      </c>
      <c r="K36" s="527">
        <v>0</v>
      </c>
      <c r="L36" s="541">
        <f>D36*K36*($L$7)^3</f>
        <v>0</v>
      </c>
      <c r="M36" s="541"/>
      <c r="N36" s="541"/>
      <c r="O36" s="664">
        <v>0</v>
      </c>
      <c r="P36" s="528">
        <f>L36+J36+H36+F36</f>
        <v>0</v>
      </c>
      <c r="Q36" s="530" t="b">
        <f t="shared" ref="Q36:Q37" si="47">((D36*E36*$F$7)+(G36*D36*$H$7)+(D36*I36*$J$7^2)+(D36*K36*$L$7^3))=P36</f>
        <v>1</v>
      </c>
      <c r="R36" s="558"/>
      <c r="U36" s="532">
        <f t="shared" ref="U36:U37" si="48">F36</f>
        <v>0</v>
      </c>
      <c r="V36" s="522" t="s">
        <v>76</v>
      </c>
      <c r="W36" s="533">
        <f t="shared" ref="W36:W37" si="49">H36</f>
        <v>0</v>
      </c>
      <c r="X36" s="522" t="s">
        <v>77</v>
      </c>
      <c r="Y36" s="533">
        <f t="shared" ref="Y36:Y37" si="50">J36</f>
        <v>0</v>
      </c>
      <c r="Z36" s="522" t="s">
        <v>78</v>
      </c>
      <c r="AA36" s="533">
        <f t="shared" ref="AA36:AA37" si="51">L36</f>
        <v>0</v>
      </c>
      <c r="AB36" s="522" t="s">
        <v>79</v>
      </c>
      <c r="AC36" s="534">
        <f t="shared" ref="AC36:AC37" si="52">SUM(U36:AA36)</f>
        <v>0</v>
      </c>
      <c r="AD36" s="535"/>
      <c r="AE36" s="536">
        <f t="shared" ref="AE36:AE37" si="53">U36/$AG$6</f>
        <v>0</v>
      </c>
      <c r="AF36" s="533">
        <f t="shared" ref="AF36:AF37" si="54">W36/$AG$6</f>
        <v>0</v>
      </c>
      <c r="AG36" s="533">
        <f t="shared" ref="AG36:AG37" si="55">Y36/$AG$6</f>
        <v>0</v>
      </c>
      <c r="AH36" s="533">
        <f t="shared" ref="AH36:AH37" si="56">AA36/$AG$6</f>
        <v>0</v>
      </c>
      <c r="AI36" s="534">
        <f t="shared" ref="AI36:AI37" si="57">SUM(AE36:AH36)</f>
        <v>0</v>
      </c>
      <c r="AK36" s="537">
        <f t="shared" ref="AK36:AK37" si="58">AE36*$AM$6</f>
        <v>0</v>
      </c>
      <c r="AL36" s="538">
        <f t="shared" ref="AL36:AL37" si="59">AF36*$AM$6</f>
        <v>0</v>
      </c>
      <c r="AM36" s="538">
        <f t="shared" ref="AM36:AM37" si="60">AG36*$AM$6</f>
        <v>0</v>
      </c>
      <c r="AN36" s="538">
        <f t="shared" ref="AN36:AN37" si="61">AH36*$AM$6</f>
        <v>0</v>
      </c>
      <c r="AO36" s="539">
        <f t="shared" ref="AO36:AO37" si="62">SUM(AK36:AN36)</f>
        <v>0</v>
      </c>
    </row>
    <row r="37" spans="1:44" ht="14.25" customHeight="1">
      <c r="B37" s="572"/>
      <c r="C37" s="527" t="s">
        <v>114</v>
      </c>
      <c r="D37" s="528"/>
      <c r="E37" s="527"/>
      <c r="F37" s="541">
        <f t="shared" si="46"/>
        <v>0</v>
      </c>
      <c r="G37" s="527"/>
      <c r="H37" s="541">
        <v>0</v>
      </c>
      <c r="I37" s="527">
        <v>0</v>
      </c>
      <c r="J37" s="541">
        <f>D37*I37*($J$7)^2</f>
        <v>0</v>
      </c>
      <c r="K37" s="527">
        <v>0</v>
      </c>
      <c r="L37" s="541">
        <f>D37*K37*($L$7)^3</f>
        <v>0</v>
      </c>
      <c r="M37" s="541"/>
      <c r="N37" s="541"/>
      <c r="O37" s="664">
        <v>0</v>
      </c>
      <c r="P37" s="528">
        <f>L37+J37+H37+F37</f>
        <v>0</v>
      </c>
      <c r="Q37" s="530" t="b">
        <f t="shared" si="47"/>
        <v>1</v>
      </c>
      <c r="R37" s="558"/>
      <c r="U37" s="532">
        <f t="shared" si="48"/>
        <v>0</v>
      </c>
      <c r="V37" s="522" t="s">
        <v>76</v>
      </c>
      <c r="W37" s="533">
        <f t="shared" si="49"/>
        <v>0</v>
      </c>
      <c r="X37" s="522" t="s">
        <v>77</v>
      </c>
      <c r="Y37" s="533">
        <f t="shared" si="50"/>
        <v>0</v>
      </c>
      <c r="Z37" s="522" t="s">
        <v>78</v>
      </c>
      <c r="AA37" s="533">
        <f t="shared" si="51"/>
        <v>0</v>
      </c>
      <c r="AB37" s="522" t="s">
        <v>79</v>
      </c>
      <c r="AC37" s="534">
        <f t="shared" si="52"/>
        <v>0</v>
      </c>
      <c r="AD37" s="535"/>
      <c r="AE37" s="536">
        <f t="shared" si="53"/>
        <v>0</v>
      </c>
      <c r="AF37" s="533">
        <f t="shared" si="54"/>
        <v>0</v>
      </c>
      <c r="AG37" s="533">
        <f t="shared" si="55"/>
        <v>0</v>
      </c>
      <c r="AH37" s="533">
        <f t="shared" si="56"/>
        <v>0</v>
      </c>
      <c r="AI37" s="534">
        <f t="shared" si="57"/>
        <v>0</v>
      </c>
      <c r="AK37" s="537">
        <f t="shared" si="58"/>
        <v>0</v>
      </c>
      <c r="AL37" s="538">
        <f t="shared" si="59"/>
        <v>0</v>
      </c>
      <c r="AM37" s="538">
        <f t="shared" si="60"/>
        <v>0</v>
      </c>
      <c r="AN37" s="538">
        <f t="shared" si="61"/>
        <v>0</v>
      </c>
      <c r="AO37" s="539">
        <f t="shared" si="62"/>
        <v>0</v>
      </c>
    </row>
    <row r="38" spans="1:44" s="442" customFormat="1" ht="14.25" customHeight="1">
      <c r="B38" s="517" t="s">
        <v>117</v>
      </c>
      <c r="C38" s="518"/>
      <c r="D38" s="519">
        <f t="shared" ref="D38:P38" si="63">SUBTOTAL(9,D36:D37)</f>
        <v>0</v>
      </c>
      <c r="E38" s="519">
        <f t="shared" si="63"/>
        <v>0</v>
      </c>
      <c r="F38" s="519">
        <f t="shared" si="63"/>
        <v>0</v>
      </c>
      <c r="G38" s="519">
        <f t="shared" si="63"/>
        <v>0</v>
      </c>
      <c r="H38" s="519">
        <f t="shared" si="63"/>
        <v>0</v>
      </c>
      <c r="I38" s="519">
        <f t="shared" si="63"/>
        <v>0</v>
      </c>
      <c r="J38" s="519">
        <f t="shared" si="63"/>
        <v>0</v>
      </c>
      <c r="K38" s="519">
        <f t="shared" si="63"/>
        <v>0</v>
      </c>
      <c r="L38" s="519">
        <f t="shared" si="63"/>
        <v>0</v>
      </c>
      <c r="M38" s="519"/>
      <c r="N38" s="519"/>
      <c r="O38" s="519">
        <f t="shared" si="63"/>
        <v>0</v>
      </c>
      <c r="P38" s="519">
        <f t="shared" si="63"/>
        <v>0</v>
      </c>
      <c r="Q38" s="530" t="b">
        <f t="shared" si="2"/>
        <v>1</v>
      </c>
      <c r="R38" s="573"/>
      <c r="S38" s="574"/>
      <c r="T38" s="574"/>
      <c r="U38" s="504">
        <f t="shared" ref="U38:AC38" si="64">SUM(U36:U37)</f>
        <v>0</v>
      </c>
      <c r="V38" s="504">
        <f t="shared" si="64"/>
        <v>0</v>
      </c>
      <c r="W38" s="504">
        <f t="shared" si="64"/>
        <v>0</v>
      </c>
      <c r="X38" s="504">
        <f t="shared" si="64"/>
        <v>0</v>
      </c>
      <c r="Y38" s="504">
        <f t="shared" si="64"/>
        <v>0</v>
      </c>
      <c r="Z38" s="504">
        <f t="shared" si="64"/>
        <v>0</v>
      </c>
      <c r="AA38" s="504">
        <f t="shared" si="64"/>
        <v>0</v>
      </c>
      <c r="AB38" s="504">
        <f t="shared" si="64"/>
        <v>0</v>
      </c>
      <c r="AC38" s="504">
        <f t="shared" si="64"/>
        <v>0</v>
      </c>
      <c r="AD38" s="504"/>
      <c r="AE38" s="504">
        <f>SUM(AE36:AE37)</f>
        <v>0</v>
      </c>
      <c r="AF38" s="504">
        <f>SUM(AF36:AF37)</f>
        <v>0</v>
      </c>
      <c r="AG38" s="504">
        <f>SUM(AG36:AG37)</f>
        <v>0</v>
      </c>
      <c r="AH38" s="504">
        <f>SUM(AH36:AH37)</f>
        <v>0</v>
      </c>
      <c r="AI38" s="504">
        <f>SUM(AI36:AI37)</f>
        <v>0</v>
      </c>
      <c r="AJ38" s="504"/>
      <c r="AK38" s="504">
        <f>SUM(AK36:AK37)</f>
        <v>0</v>
      </c>
      <c r="AL38" s="504">
        <f>SUM(AL36:AL37)</f>
        <v>0</v>
      </c>
      <c r="AM38" s="504">
        <f>SUM(AM36:AM37)</f>
        <v>0</v>
      </c>
      <c r="AN38" s="504">
        <f>SUM(AN36:AN37)</f>
        <v>0</v>
      </c>
      <c r="AO38" s="504">
        <f>SUM(AO36:AO37)</f>
        <v>0</v>
      </c>
    </row>
    <row r="39" spans="1:44" s="557" customFormat="1" ht="14.25" customHeight="1">
      <c r="B39" s="575"/>
      <c r="C39" s="576"/>
      <c r="D39" s="577"/>
      <c r="E39" s="527"/>
      <c r="F39" s="578"/>
      <c r="G39" s="527"/>
      <c r="H39" s="578"/>
      <c r="I39" s="527"/>
      <c r="J39" s="578"/>
      <c r="K39" s="527"/>
      <c r="L39" s="578"/>
      <c r="M39" s="578"/>
      <c r="N39" s="578"/>
      <c r="O39" s="720"/>
      <c r="P39" s="577"/>
      <c r="Q39" s="530" t="b">
        <f t="shared" si="2"/>
        <v>1</v>
      </c>
      <c r="R39" s="579"/>
      <c r="U39" s="580"/>
      <c r="V39" s="522" t="s">
        <v>76</v>
      </c>
      <c r="W39" s="581"/>
      <c r="X39" s="522" t="s">
        <v>77</v>
      </c>
      <c r="Y39" s="581"/>
      <c r="Z39" s="522" t="s">
        <v>78</v>
      </c>
      <c r="AA39" s="581"/>
      <c r="AB39" s="522" t="s">
        <v>79</v>
      </c>
      <c r="AC39" s="582"/>
      <c r="AD39" s="535"/>
      <c r="AE39" s="583"/>
      <c r="AF39" s="584"/>
      <c r="AG39" s="584"/>
      <c r="AH39" s="584"/>
      <c r="AI39" s="585"/>
      <c r="AK39" s="586"/>
      <c r="AL39" s="587"/>
      <c r="AM39" s="587"/>
      <c r="AN39" s="587"/>
      <c r="AO39" s="588"/>
    </row>
    <row r="40" spans="1:44" ht="14.25" customHeight="1">
      <c r="B40" s="502" t="s">
        <v>419</v>
      </c>
      <c r="C40" s="589"/>
      <c r="D40" s="504"/>
      <c r="E40" s="527"/>
      <c r="F40" s="504"/>
      <c r="G40" s="503"/>
      <c r="H40" s="504"/>
      <c r="I40" s="503"/>
      <c r="J40" s="504"/>
      <c r="K40" s="503"/>
      <c r="L40" s="504"/>
      <c r="M40" s="504"/>
      <c r="N40" s="504"/>
      <c r="O40" s="503"/>
      <c r="P40" s="504"/>
      <c r="Q40" s="530" t="b">
        <f t="shared" si="2"/>
        <v>1</v>
      </c>
      <c r="R40" s="506"/>
      <c r="S40" s="451"/>
      <c r="T40" s="451"/>
      <c r="U40" s="563"/>
      <c r="V40" s="522" t="s">
        <v>76</v>
      </c>
      <c r="W40" s="564"/>
      <c r="X40" s="522" t="s">
        <v>77</v>
      </c>
      <c r="Y40" s="564"/>
      <c r="Z40" s="522" t="s">
        <v>78</v>
      </c>
      <c r="AA40" s="564"/>
      <c r="AB40" s="522" t="s">
        <v>79</v>
      </c>
      <c r="AC40" s="565"/>
      <c r="AD40" s="535"/>
      <c r="AE40" s="566"/>
      <c r="AF40" s="567"/>
      <c r="AG40" s="567"/>
      <c r="AH40" s="567"/>
      <c r="AI40" s="568"/>
      <c r="AK40" s="569"/>
      <c r="AL40" s="570"/>
      <c r="AM40" s="570"/>
      <c r="AN40" s="570"/>
      <c r="AO40" s="571"/>
    </row>
    <row r="41" spans="1:44" ht="14.25" customHeight="1">
      <c r="B41" s="517"/>
      <c r="C41" s="518"/>
      <c r="D41" s="519"/>
      <c r="E41" s="518"/>
      <c r="F41" s="590"/>
      <c r="G41" s="518"/>
      <c r="H41" s="590"/>
      <c r="I41" s="518"/>
      <c r="J41" s="590"/>
      <c r="K41" s="518"/>
      <c r="L41" s="590"/>
      <c r="M41" s="721"/>
      <c r="N41" s="721"/>
      <c r="O41" s="518"/>
      <c r="P41" s="590"/>
      <c r="Q41" s="530" t="b">
        <f t="shared" si="2"/>
        <v>1</v>
      </c>
      <c r="R41" s="556"/>
      <c r="S41" s="451"/>
      <c r="T41" s="451"/>
      <c r="U41" s="590">
        <f>SUM(U42:U43)</f>
        <v>0</v>
      </c>
      <c r="V41" s="522" t="s">
        <v>76</v>
      </c>
      <c r="W41" s="590">
        <f>SUM(W42:W43)</f>
        <v>0</v>
      </c>
      <c r="X41" s="522" t="s">
        <v>77</v>
      </c>
      <c r="Y41" s="590">
        <f>SUM(Y42:Y43)</f>
        <v>0</v>
      </c>
      <c r="Z41" s="522" t="s">
        <v>78</v>
      </c>
      <c r="AA41" s="590">
        <f>SUM(AA42:AA43)</f>
        <v>0</v>
      </c>
      <c r="AB41" s="522" t="s">
        <v>79</v>
      </c>
      <c r="AC41" s="590">
        <f>SUM(AC42:AC43)</f>
        <v>0</v>
      </c>
      <c r="AD41" s="535"/>
      <c r="AE41" s="590">
        <f>SUM(AE42:AE43)</f>
        <v>0</v>
      </c>
      <c r="AF41" s="590">
        <f>SUM(AF42:AF43)</f>
        <v>0</v>
      </c>
      <c r="AG41" s="590">
        <f>SUM(AG42:AG43)</f>
        <v>0</v>
      </c>
      <c r="AH41" s="590">
        <f>SUM(AH42:AH43)</f>
        <v>0</v>
      </c>
      <c r="AI41" s="590">
        <f>SUM(AI42:AI43)</f>
        <v>0</v>
      </c>
      <c r="AK41" s="553">
        <f t="shared" ref="AK41:AO41" si="65">AE41*$AM$6</f>
        <v>0</v>
      </c>
      <c r="AL41" s="553">
        <f t="shared" si="65"/>
        <v>0</v>
      </c>
      <c r="AM41" s="553">
        <f t="shared" si="65"/>
        <v>0</v>
      </c>
      <c r="AN41" s="553">
        <f t="shared" si="65"/>
        <v>0</v>
      </c>
      <c r="AO41" s="553">
        <f t="shared" si="65"/>
        <v>0</v>
      </c>
    </row>
    <row r="42" spans="1:44" s="447" customFormat="1" ht="24.65" customHeight="1">
      <c r="A42" s="591"/>
      <c r="B42" s="592"/>
      <c r="C42" s="527" t="s">
        <v>82</v>
      </c>
      <c r="D42" s="528"/>
      <c r="E42" s="527">
        <v>5</v>
      </c>
      <c r="F42" s="541">
        <f>E42*D42</f>
        <v>0</v>
      </c>
      <c r="G42" s="527">
        <v>12</v>
      </c>
      <c r="H42" s="541">
        <f>G42*D42*($H$7)^1</f>
        <v>0</v>
      </c>
      <c r="I42" s="527">
        <v>12</v>
      </c>
      <c r="J42" s="541">
        <f>D42*I42*($J$7)^2</f>
        <v>0</v>
      </c>
      <c r="K42" s="527">
        <v>12</v>
      </c>
      <c r="L42" s="541">
        <f>D42*K42*($L$7)^3</f>
        <v>0</v>
      </c>
      <c r="M42" s="541">
        <v>6</v>
      </c>
      <c r="N42" s="596">
        <f>D42*M42</f>
        <v>0</v>
      </c>
      <c r="O42" s="664">
        <f>K42+I42+G42+E42</f>
        <v>41</v>
      </c>
      <c r="P42" s="528">
        <f>L42+J42+H42+F42+N42</f>
        <v>0</v>
      </c>
      <c r="Q42" s="530" t="b">
        <f t="shared" si="2"/>
        <v>1</v>
      </c>
      <c r="R42" s="558"/>
      <c r="U42" s="532"/>
      <c r="V42" s="522" t="s">
        <v>76</v>
      </c>
      <c r="W42" s="533">
        <f>H42</f>
        <v>0</v>
      </c>
      <c r="X42" s="522" t="s">
        <v>77</v>
      </c>
      <c r="Y42" s="533">
        <f>J42</f>
        <v>0</v>
      </c>
      <c r="Z42" s="522" t="s">
        <v>78</v>
      </c>
      <c r="AA42" s="533">
        <f>L42</f>
        <v>0</v>
      </c>
      <c r="AB42" s="522" t="s">
        <v>79</v>
      </c>
      <c r="AC42" s="534">
        <f>SUM(U42:AA42)</f>
        <v>0</v>
      </c>
      <c r="AD42" s="535"/>
      <c r="AE42" s="536">
        <f>U42/$AG$6</f>
        <v>0</v>
      </c>
      <c r="AF42" s="533">
        <f>W42/$AG$6</f>
        <v>0</v>
      </c>
      <c r="AG42" s="533">
        <f>Y42/$AG$6</f>
        <v>0</v>
      </c>
      <c r="AH42" s="533">
        <f>AA42/$AG$6</f>
        <v>0</v>
      </c>
      <c r="AI42" s="534">
        <f>SUM(AE42:AH42)</f>
        <v>0</v>
      </c>
      <c r="AK42" s="537">
        <f t="shared" ref="AK42:AN42" si="66">AE42*$AM$6</f>
        <v>0</v>
      </c>
      <c r="AL42" s="538">
        <f t="shared" si="66"/>
        <v>0</v>
      </c>
      <c r="AM42" s="538">
        <f t="shared" si="66"/>
        <v>0</v>
      </c>
      <c r="AN42" s="538">
        <f t="shared" si="66"/>
        <v>0</v>
      </c>
      <c r="AO42" s="539">
        <f>SUM(AK42:AN42)</f>
        <v>0</v>
      </c>
      <c r="AP42" s="542"/>
    </row>
    <row r="43" spans="1:44" s="447" customFormat="1" ht="14.25" customHeight="1">
      <c r="A43" s="591"/>
      <c r="B43" s="593"/>
      <c r="C43" s="527" t="s">
        <v>82</v>
      </c>
      <c r="D43" s="528"/>
      <c r="E43" s="527">
        <v>5</v>
      </c>
      <c r="F43" s="541">
        <f t="shared" ref="F43:F44" si="67">E43*D43</f>
        <v>0</v>
      </c>
      <c r="G43" s="527">
        <v>12</v>
      </c>
      <c r="H43" s="541">
        <f t="shared" ref="H43" si="68">G43*D43*($H$7)^1</f>
        <v>0</v>
      </c>
      <c r="I43" s="527">
        <v>12</v>
      </c>
      <c r="J43" s="541">
        <f t="shared" ref="J43" si="69">D43*I43*($J$7)^2</f>
        <v>0</v>
      </c>
      <c r="K43" s="527">
        <v>12</v>
      </c>
      <c r="L43" s="541">
        <f>D43*K43*($L$7)^3</f>
        <v>0</v>
      </c>
      <c r="M43" s="541">
        <v>6</v>
      </c>
      <c r="N43" s="596">
        <f t="shared" ref="N43:N44" si="70">D43*M43</f>
        <v>0</v>
      </c>
      <c r="O43" s="664">
        <f t="shared" ref="O43:O44" si="71">K43+I43+G43+E43</f>
        <v>41</v>
      </c>
      <c r="P43" s="528">
        <f t="shared" ref="P43:P44" si="72">L43+J43+H43+F43+N43</f>
        <v>0</v>
      </c>
      <c r="Q43" s="530"/>
      <c r="R43" s="558"/>
      <c r="U43" s="532"/>
      <c r="V43" s="522"/>
      <c r="W43" s="533"/>
      <c r="X43" s="522"/>
      <c r="Y43" s="533"/>
      <c r="Z43" s="522"/>
      <c r="AA43" s="533"/>
      <c r="AB43" s="522"/>
      <c r="AC43" s="534"/>
      <c r="AD43" s="535"/>
      <c r="AE43" s="536"/>
      <c r="AF43" s="533"/>
      <c r="AG43" s="533"/>
      <c r="AH43" s="533"/>
      <c r="AI43" s="534"/>
      <c r="AK43" s="537"/>
      <c r="AL43" s="538"/>
      <c r="AM43" s="538"/>
      <c r="AN43" s="538"/>
      <c r="AO43" s="539"/>
      <c r="AP43" s="542"/>
    </row>
    <row r="44" spans="1:44" s="605" customFormat="1" ht="14.25" customHeight="1">
      <c r="A44" s="447"/>
      <c r="B44" s="594"/>
      <c r="C44" s="595" t="s">
        <v>82</v>
      </c>
      <c r="D44" s="596"/>
      <c r="E44" s="595">
        <v>5</v>
      </c>
      <c r="F44" s="541">
        <f t="shared" si="67"/>
        <v>0</v>
      </c>
      <c r="G44" s="595">
        <v>12</v>
      </c>
      <c r="H44" s="596"/>
      <c r="I44" s="595">
        <v>12</v>
      </c>
      <c r="J44" s="596"/>
      <c r="K44" s="595">
        <v>12</v>
      </c>
      <c r="L44" s="596"/>
      <c r="M44" s="596">
        <v>6</v>
      </c>
      <c r="N44" s="596">
        <f t="shared" si="70"/>
        <v>0</v>
      </c>
      <c r="O44" s="593">
        <f t="shared" si="71"/>
        <v>41</v>
      </c>
      <c r="P44" s="528">
        <f t="shared" si="72"/>
        <v>0</v>
      </c>
      <c r="Q44" s="597"/>
      <c r="R44" s="598"/>
      <c r="S44" s="599"/>
      <c r="T44" s="599"/>
      <c r="U44" s="599"/>
      <c r="V44" s="600"/>
      <c r="W44" s="601"/>
      <c r="X44" s="600"/>
      <c r="Y44" s="601"/>
      <c r="Z44" s="600"/>
      <c r="AA44" s="601"/>
      <c r="AB44" s="600"/>
      <c r="AC44" s="602"/>
      <c r="AD44" s="603"/>
      <c r="AE44" s="604"/>
      <c r="AF44" s="601"/>
      <c r="AG44" s="601"/>
      <c r="AH44" s="601"/>
      <c r="AI44" s="602"/>
      <c r="AK44" s="606"/>
      <c r="AL44" s="606"/>
      <c r="AM44" s="606"/>
      <c r="AN44" s="606"/>
      <c r="AO44" s="607"/>
      <c r="AP44" s="608"/>
      <c r="AR44" s="447"/>
    </row>
    <row r="45" spans="1:44" s="442" customFormat="1" ht="14.25" customHeight="1">
      <c r="B45" s="517" t="s">
        <v>125</v>
      </c>
      <c r="C45" s="519">
        <f t="shared" ref="C45" si="73">SUBTOTAL(9,C42:C44)</f>
        <v>0</v>
      </c>
      <c r="D45" s="519">
        <f>SUBTOTAL(9,D42:D44)</f>
        <v>0</v>
      </c>
      <c r="E45" s="519">
        <f t="shared" ref="E45:P45" si="74">SUBTOTAL(9,E42:E44)</f>
        <v>15</v>
      </c>
      <c r="F45" s="519">
        <f t="shared" si="74"/>
        <v>0</v>
      </c>
      <c r="G45" s="519">
        <f t="shared" si="74"/>
        <v>36</v>
      </c>
      <c r="H45" s="519">
        <f t="shared" si="74"/>
        <v>0</v>
      </c>
      <c r="I45" s="519">
        <f t="shared" si="74"/>
        <v>36</v>
      </c>
      <c r="J45" s="519">
        <f t="shared" si="74"/>
        <v>0</v>
      </c>
      <c r="K45" s="519">
        <f t="shared" si="74"/>
        <v>36</v>
      </c>
      <c r="L45" s="519">
        <f t="shared" si="74"/>
        <v>0</v>
      </c>
      <c r="M45" s="519"/>
      <c r="N45" s="519"/>
      <c r="O45" s="519">
        <f t="shared" si="74"/>
        <v>123</v>
      </c>
      <c r="P45" s="519">
        <f t="shared" si="74"/>
        <v>0</v>
      </c>
      <c r="Q45" s="530" t="b">
        <f t="shared" si="2"/>
        <v>1</v>
      </c>
      <c r="R45" s="609"/>
      <c r="S45" s="574"/>
      <c r="T45" s="574"/>
      <c r="U45" s="504" t="e">
        <f>#REF!+#REF!+U41</f>
        <v>#REF!</v>
      </c>
      <c r="V45" s="522" t="s">
        <v>76</v>
      </c>
      <c r="W45" s="504" t="e">
        <f>#REF!+#REF!+W41</f>
        <v>#REF!</v>
      </c>
      <c r="X45" s="522" t="s">
        <v>77</v>
      </c>
      <c r="Y45" s="504" t="e">
        <f>#REF!+#REF!+Y41</f>
        <v>#REF!</v>
      </c>
      <c r="Z45" s="522" t="s">
        <v>78</v>
      </c>
      <c r="AA45" s="504" t="e">
        <f>#REF!+#REF!+AA41</f>
        <v>#REF!</v>
      </c>
      <c r="AB45" s="522" t="s">
        <v>79</v>
      </c>
      <c r="AC45" s="504" t="e">
        <f>#REF!+#REF!+AC41</f>
        <v>#REF!</v>
      </c>
      <c r="AD45" s="535"/>
      <c r="AE45" s="504" t="e">
        <f>#REF!+#REF!+AE41</f>
        <v>#REF!</v>
      </c>
      <c r="AF45" s="504" t="e">
        <f>#REF!+#REF!+AF41</f>
        <v>#REF!</v>
      </c>
      <c r="AG45" s="504" t="e">
        <f>#REF!+#REF!+AG41</f>
        <v>#REF!</v>
      </c>
      <c r="AH45" s="504" t="e">
        <f>#REF!+#REF!+AH41</f>
        <v>#REF!</v>
      </c>
      <c r="AI45" s="504" t="e">
        <f>#REF!+#REF!+AI41</f>
        <v>#REF!</v>
      </c>
      <c r="AJ45" s="447"/>
      <c r="AK45" s="610">
        <f>SUM(AK42:AK43)</f>
        <v>0</v>
      </c>
      <c r="AL45" s="611">
        <f>SUM(AL42:AL43)</f>
        <v>0</v>
      </c>
      <c r="AM45" s="611">
        <f>SUM(AM42:AM43)</f>
        <v>0</v>
      </c>
      <c r="AN45" s="611">
        <f>SUM(AN42:AN43)</f>
        <v>0</v>
      </c>
      <c r="AO45" s="612">
        <f>SUM(AO42:AO43)</f>
        <v>0</v>
      </c>
    </row>
    <row r="46" spans="1:44" s="447" customFormat="1" ht="14.25" customHeight="1">
      <c r="B46" s="544"/>
      <c r="C46" s="527"/>
      <c r="D46" s="528"/>
      <c r="E46" s="527"/>
      <c r="F46" s="528"/>
      <c r="G46" s="527"/>
      <c r="H46" s="528"/>
      <c r="I46" s="527"/>
      <c r="J46" s="528"/>
      <c r="K46" s="527"/>
      <c r="L46" s="541"/>
      <c r="M46" s="541"/>
      <c r="N46" s="541"/>
      <c r="O46" s="664"/>
      <c r="P46" s="528"/>
      <c r="Q46" s="530" t="b">
        <f t="shared" si="2"/>
        <v>1</v>
      </c>
      <c r="R46" s="558"/>
      <c r="U46" s="559"/>
      <c r="V46" s="522" t="s">
        <v>76</v>
      </c>
      <c r="W46" s="560"/>
      <c r="X46" s="522" t="s">
        <v>77</v>
      </c>
      <c r="Y46" s="560"/>
      <c r="Z46" s="522" t="s">
        <v>78</v>
      </c>
      <c r="AA46" s="560"/>
      <c r="AB46" s="522" t="s">
        <v>79</v>
      </c>
      <c r="AC46" s="561"/>
      <c r="AD46" s="535"/>
      <c r="AE46" s="536"/>
      <c r="AF46" s="533"/>
      <c r="AG46" s="533"/>
      <c r="AH46" s="533"/>
      <c r="AI46" s="534"/>
      <c r="AK46" s="537"/>
      <c r="AL46" s="562"/>
      <c r="AM46" s="562"/>
      <c r="AN46" s="562"/>
      <c r="AO46" s="539"/>
    </row>
    <row r="47" spans="1:44" ht="14.25" customHeight="1">
      <c r="B47" s="502" t="s">
        <v>420</v>
      </c>
      <c r="C47" s="589"/>
      <c r="D47" s="504"/>
      <c r="E47" s="589"/>
      <c r="F47" s="504"/>
      <c r="G47" s="589"/>
      <c r="H47" s="504"/>
      <c r="I47" s="589"/>
      <c r="J47" s="504"/>
      <c r="K47" s="503"/>
      <c r="L47" s="504"/>
      <c r="M47" s="504"/>
      <c r="N47" s="504"/>
      <c r="O47" s="503"/>
      <c r="P47" s="504"/>
      <c r="Q47" s="530" t="b">
        <f t="shared" ref="Q47:Q59" si="75">((D47*E47*$F$7)+(G47*D47*$H$7)+(D47*I47*$J$7^2)+(D47*K47*$L$7^3))=P47</f>
        <v>1</v>
      </c>
      <c r="R47" s="506"/>
      <c r="U47" s="563"/>
      <c r="V47" s="522" t="s">
        <v>76</v>
      </c>
      <c r="W47" s="564"/>
      <c r="X47" s="522" t="s">
        <v>77</v>
      </c>
      <c r="Y47" s="564"/>
      <c r="Z47" s="522" t="s">
        <v>78</v>
      </c>
      <c r="AA47" s="564"/>
      <c r="AB47" s="522" t="s">
        <v>79</v>
      </c>
      <c r="AC47" s="565"/>
      <c r="AD47" s="535"/>
      <c r="AE47" s="566"/>
      <c r="AF47" s="567"/>
      <c r="AG47" s="567"/>
      <c r="AH47" s="567"/>
      <c r="AI47" s="568"/>
      <c r="AK47" s="569"/>
      <c r="AL47" s="570"/>
      <c r="AM47" s="570"/>
      <c r="AN47" s="570"/>
      <c r="AO47" s="571"/>
    </row>
    <row r="48" spans="1:44" ht="14.25" customHeight="1">
      <c r="B48" s="517"/>
      <c r="C48" s="589"/>
      <c r="D48" s="504"/>
      <c r="E48" s="589"/>
      <c r="F48" s="590"/>
      <c r="G48" s="589"/>
      <c r="H48" s="590"/>
      <c r="I48" s="589"/>
      <c r="J48" s="590"/>
      <c r="K48" s="518"/>
      <c r="L48" s="590"/>
      <c r="M48" s="721"/>
      <c r="N48" s="721"/>
      <c r="O48" s="518"/>
      <c r="P48" s="590"/>
      <c r="Q48" s="530" t="b">
        <f t="shared" si="75"/>
        <v>1</v>
      </c>
      <c r="R48" s="613"/>
      <c r="U48" s="590">
        <f>SUM(U49:U56)</f>
        <v>0</v>
      </c>
      <c r="V48" s="522" t="s">
        <v>76</v>
      </c>
      <c r="W48" s="590">
        <f>SUM(W49:W56)</f>
        <v>0</v>
      </c>
      <c r="X48" s="522" t="s">
        <v>77</v>
      </c>
      <c r="Y48" s="590">
        <f>SUM(Y49:Y56)</f>
        <v>0</v>
      </c>
      <c r="Z48" s="522" t="s">
        <v>78</v>
      </c>
      <c r="AA48" s="590">
        <f>SUM(AA49:AA56)</f>
        <v>0</v>
      </c>
      <c r="AB48" s="522" t="s">
        <v>79</v>
      </c>
      <c r="AC48" s="590">
        <f>SUM(AC49:AC56)</f>
        <v>0</v>
      </c>
      <c r="AD48" s="535"/>
      <c r="AE48" s="550"/>
      <c r="AF48" s="551"/>
      <c r="AG48" s="551"/>
      <c r="AH48" s="551"/>
      <c r="AI48" s="552"/>
      <c r="AK48" s="553"/>
      <c r="AL48" s="554"/>
      <c r="AM48" s="554"/>
      <c r="AN48" s="554"/>
      <c r="AO48" s="555"/>
    </row>
    <row r="49" spans="1:42" ht="14.25" customHeight="1">
      <c r="A49" s="591"/>
      <c r="B49" s="593"/>
      <c r="C49" s="527" t="s">
        <v>421</v>
      </c>
      <c r="D49" s="596"/>
      <c r="E49" s="527"/>
      <c r="F49" s="541">
        <f t="shared" ref="F49:F57" si="76">E49*D49</f>
        <v>0</v>
      </c>
      <c r="G49" s="527"/>
      <c r="H49" s="541">
        <f t="shared" ref="H49:H55" si="77">G49*D49</f>
        <v>0</v>
      </c>
      <c r="I49" s="527"/>
      <c r="J49" s="541">
        <f t="shared" ref="J49:J55" si="78">D49*I49</f>
        <v>0</v>
      </c>
      <c r="K49" s="527"/>
      <c r="L49" s="541">
        <f t="shared" ref="L49:L55" si="79">D49*K49</f>
        <v>0</v>
      </c>
      <c r="M49" s="541"/>
      <c r="N49" s="541"/>
      <c r="O49" s="664">
        <f>E49+G49+I49+K49</f>
        <v>0</v>
      </c>
      <c r="P49" s="528">
        <f>L49+J49+H49+F49+N49</f>
        <v>0</v>
      </c>
      <c r="Q49" s="530" t="b">
        <f t="shared" si="75"/>
        <v>1</v>
      </c>
      <c r="R49" s="493"/>
      <c r="U49" s="532"/>
      <c r="V49" s="522"/>
      <c r="W49" s="533"/>
      <c r="X49" s="522"/>
      <c r="Y49" s="533"/>
      <c r="Z49" s="522"/>
      <c r="AA49" s="533"/>
      <c r="AB49" s="522"/>
      <c r="AC49" s="534"/>
      <c r="AD49" s="535"/>
      <c r="AE49" s="536"/>
      <c r="AF49" s="533"/>
      <c r="AG49" s="533"/>
      <c r="AH49" s="533"/>
      <c r="AI49" s="534"/>
      <c r="AK49" s="537"/>
      <c r="AL49" s="538"/>
      <c r="AM49" s="538"/>
      <c r="AN49" s="538"/>
      <c r="AO49" s="539"/>
    </row>
    <row r="50" spans="1:42" ht="14.25" customHeight="1">
      <c r="A50" s="591"/>
      <c r="B50" s="614"/>
      <c r="C50" s="527" t="s">
        <v>422</v>
      </c>
      <c r="D50" s="596"/>
      <c r="E50" s="527"/>
      <c r="F50" s="541">
        <f t="shared" si="76"/>
        <v>0</v>
      </c>
      <c r="G50" s="527"/>
      <c r="H50" s="541">
        <f t="shared" si="77"/>
        <v>0</v>
      </c>
      <c r="I50" s="527"/>
      <c r="J50" s="541">
        <f t="shared" si="78"/>
        <v>0</v>
      </c>
      <c r="K50" s="527"/>
      <c r="L50" s="541">
        <f t="shared" si="79"/>
        <v>0</v>
      </c>
      <c r="M50" s="541"/>
      <c r="N50" s="541"/>
      <c r="O50" s="664">
        <f t="shared" ref="O50:O57" si="80">E50+G50+I50+K50</f>
        <v>0</v>
      </c>
      <c r="P50" s="528">
        <f t="shared" ref="P50:P57" si="81">L50+J50+H50+F50+N50</f>
        <v>0</v>
      </c>
      <c r="Q50" s="530" t="b">
        <f t="shared" si="75"/>
        <v>1</v>
      </c>
      <c r="R50" s="493"/>
      <c r="U50" s="532">
        <f t="shared" ref="U50:U56" si="82">F50</f>
        <v>0</v>
      </c>
      <c r="V50" s="522" t="s">
        <v>76</v>
      </c>
      <c r="W50" s="533">
        <f t="shared" ref="W50:W56" si="83">H50</f>
        <v>0</v>
      </c>
      <c r="X50" s="522" t="s">
        <v>77</v>
      </c>
      <c r="Y50" s="533">
        <f t="shared" ref="Y50:Y56" si="84">J50</f>
        <v>0</v>
      </c>
      <c r="Z50" s="522" t="s">
        <v>78</v>
      </c>
      <c r="AA50" s="533">
        <f t="shared" ref="AA50:AA56" si="85">L50</f>
        <v>0</v>
      </c>
      <c r="AB50" s="522" t="s">
        <v>79</v>
      </c>
      <c r="AC50" s="534">
        <f t="shared" ref="AC50:AC56" si="86">SUM(U50:AA50)</f>
        <v>0</v>
      </c>
      <c r="AD50" s="535"/>
      <c r="AE50" s="536">
        <f t="shared" ref="AE50:AE56" si="87">U50/$AG$6</f>
        <v>0</v>
      </c>
      <c r="AF50" s="533">
        <f t="shared" ref="AF50:AF56" si="88">W50/$AG$6</f>
        <v>0</v>
      </c>
      <c r="AG50" s="533">
        <f t="shared" ref="AG50:AG56" si="89">Y50/$AG$6</f>
        <v>0</v>
      </c>
      <c r="AH50" s="533">
        <f t="shared" ref="AH50:AH56" si="90">AA50/$AG$6</f>
        <v>0</v>
      </c>
      <c r="AI50" s="534">
        <f t="shared" ref="AI50:AI56" si="91">SUM(AE50:AH50)</f>
        <v>0</v>
      </c>
      <c r="AK50" s="537">
        <f t="shared" ref="AK50:AN56" si="92">AE50*$AM$6</f>
        <v>0</v>
      </c>
      <c r="AL50" s="538">
        <f t="shared" si="92"/>
        <v>0</v>
      </c>
      <c r="AM50" s="538">
        <f t="shared" si="92"/>
        <v>0</v>
      </c>
      <c r="AN50" s="538">
        <f t="shared" si="92"/>
        <v>0</v>
      </c>
      <c r="AO50" s="539">
        <f t="shared" ref="AO50:AO56" si="93">SUM(AK50:AN50)</f>
        <v>0</v>
      </c>
    </row>
    <row r="51" spans="1:42" ht="14.25" customHeight="1">
      <c r="A51" s="591"/>
      <c r="B51" s="614"/>
      <c r="C51" s="527" t="s">
        <v>423</v>
      </c>
      <c r="D51" s="596"/>
      <c r="E51" s="527"/>
      <c r="F51" s="541">
        <f t="shared" si="76"/>
        <v>0</v>
      </c>
      <c r="G51" s="527"/>
      <c r="H51" s="541">
        <f t="shared" si="77"/>
        <v>0</v>
      </c>
      <c r="I51" s="527"/>
      <c r="J51" s="541">
        <f t="shared" si="78"/>
        <v>0</v>
      </c>
      <c r="K51" s="527"/>
      <c r="L51" s="541">
        <f t="shared" si="79"/>
        <v>0</v>
      </c>
      <c r="M51" s="541"/>
      <c r="N51" s="541"/>
      <c r="O51" s="664">
        <f t="shared" si="80"/>
        <v>0</v>
      </c>
      <c r="P51" s="528">
        <f t="shared" si="81"/>
        <v>0</v>
      </c>
      <c r="Q51" s="530" t="b">
        <f t="shared" si="75"/>
        <v>1</v>
      </c>
      <c r="R51" s="493"/>
      <c r="U51" s="532">
        <f t="shared" si="82"/>
        <v>0</v>
      </c>
      <c r="V51" s="522" t="s">
        <v>76</v>
      </c>
      <c r="W51" s="533">
        <f t="shared" si="83"/>
        <v>0</v>
      </c>
      <c r="X51" s="522" t="s">
        <v>77</v>
      </c>
      <c r="Y51" s="533">
        <f t="shared" si="84"/>
        <v>0</v>
      </c>
      <c r="Z51" s="522" t="s">
        <v>78</v>
      </c>
      <c r="AA51" s="533">
        <f t="shared" si="85"/>
        <v>0</v>
      </c>
      <c r="AB51" s="522" t="s">
        <v>79</v>
      </c>
      <c r="AC51" s="534">
        <f t="shared" si="86"/>
        <v>0</v>
      </c>
      <c r="AD51" s="535"/>
      <c r="AE51" s="536">
        <f t="shared" si="87"/>
        <v>0</v>
      </c>
      <c r="AF51" s="533">
        <f t="shared" si="88"/>
        <v>0</v>
      </c>
      <c r="AG51" s="533">
        <f t="shared" si="89"/>
        <v>0</v>
      </c>
      <c r="AH51" s="533">
        <f t="shared" si="90"/>
        <v>0</v>
      </c>
      <c r="AI51" s="534">
        <f t="shared" si="91"/>
        <v>0</v>
      </c>
      <c r="AK51" s="537">
        <f t="shared" si="92"/>
        <v>0</v>
      </c>
      <c r="AL51" s="538">
        <f t="shared" si="92"/>
        <v>0</v>
      </c>
      <c r="AM51" s="538">
        <f t="shared" si="92"/>
        <v>0</v>
      </c>
      <c r="AN51" s="538">
        <f t="shared" si="92"/>
        <v>0</v>
      </c>
      <c r="AO51" s="539">
        <f t="shared" si="93"/>
        <v>0</v>
      </c>
    </row>
    <row r="52" spans="1:42" ht="14.25" customHeight="1">
      <c r="A52" s="591"/>
      <c r="B52" s="614"/>
      <c r="C52" s="527" t="s">
        <v>423</v>
      </c>
      <c r="D52" s="596"/>
      <c r="E52" s="527"/>
      <c r="F52" s="541">
        <f t="shared" si="76"/>
        <v>0</v>
      </c>
      <c r="G52" s="527"/>
      <c r="H52" s="541">
        <f t="shared" si="77"/>
        <v>0</v>
      </c>
      <c r="I52" s="527"/>
      <c r="J52" s="541">
        <f t="shared" si="78"/>
        <v>0</v>
      </c>
      <c r="K52" s="527"/>
      <c r="L52" s="541">
        <f t="shared" si="79"/>
        <v>0</v>
      </c>
      <c r="M52" s="541"/>
      <c r="N52" s="541"/>
      <c r="O52" s="664">
        <f t="shared" si="80"/>
        <v>0</v>
      </c>
      <c r="P52" s="528">
        <f t="shared" si="81"/>
        <v>0</v>
      </c>
      <c r="Q52" s="530" t="b">
        <f t="shared" si="75"/>
        <v>1</v>
      </c>
      <c r="R52" s="493"/>
      <c r="U52" s="532"/>
      <c r="V52" s="522"/>
      <c r="W52" s="533"/>
      <c r="X52" s="522"/>
      <c r="Y52" s="533">
        <f t="shared" si="84"/>
        <v>0</v>
      </c>
      <c r="Z52" s="522"/>
      <c r="AA52" s="533"/>
      <c r="AB52" s="522"/>
      <c r="AC52" s="534"/>
      <c r="AD52" s="535"/>
      <c r="AE52" s="536"/>
      <c r="AF52" s="533"/>
      <c r="AG52" s="533">
        <f t="shared" si="89"/>
        <v>0</v>
      </c>
      <c r="AH52" s="533"/>
      <c r="AI52" s="534"/>
      <c r="AK52" s="537"/>
      <c r="AL52" s="538"/>
      <c r="AM52" s="538">
        <f t="shared" si="92"/>
        <v>0</v>
      </c>
      <c r="AN52" s="538"/>
      <c r="AO52" s="539"/>
    </row>
    <row r="53" spans="1:42" ht="27" customHeight="1">
      <c r="A53" s="591"/>
      <c r="B53" s="614"/>
      <c r="C53" s="527" t="s">
        <v>424</v>
      </c>
      <c r="D53" s="596"/>
      <c r="E53" s="527"/>
      <c r="F53" s="541">
        <f t="shared" si="76"/>
        <v>0</v>
      </c>
      <c r="G53" s="527"/>
      <c r="H53" s="541">
        <f t="shared" si="77"/>
        <v>0</v>
      </c>
      <c r="I53" s="527"/>
      <c r="J53" s="541">
        <f t="shared" si="78"/>
        <v>0</v>
      </c>
      <c r="K53" s="527"/>
      <c r="L53" s="541">
        <f t="shared" si="79"/>
        <v>0</v>
      </c>
      <c r="M53" s="527"/>
      <c r="N53" s="541">
        <f>M53*D53</f>
        <v>0</v>
      </c>
      <c r="O53" s="664">
        <f t="shared" si="80"/>
        <v>0</v>
      </c>
      <c r="P53" s="528">
        <f t="shared" si="81"/>
        <v>0</v>
      </c>
      <c r="Q53" s="530" t="b">
        <f t="shared" si="75"/>
        <v>1</v>
      </c>
      <c r="R53" s="493"/>
      <c r="U53" s="532"/>
      <c r="V53" s="522"/>
      <c r="W53" s="533"/>
      <c r="X53" s="522"/>
      <c r="Y53" s="533">
        <f t="shared" si="84"/>
        <v>0</v>
      </c>
      <c r="Z53" s="522"/>
      <c r="AA53" s="533"/>
      <c r="AB53" s="522"/>
      <c r="AC53" s="534"/>
      <c r="AD53" s="535"/>
      <c r="AE53" s="536"/>
      <c r="AF53" s="533"/>
      <c r="AG53" s="533">
        <f t="shared" si="89"/>
        <v>0</v>
      </c>
      <c r="AH53" s="533"/>
      <c r="AI53" s="534"/>
      <c r="AK53" s="537"/>
      <c r="AL53" s="538"/>
      <c r="AM53" s="538">
        <f t="shared" si="92"/>
        <v>0</v>
      </c>
      <c r="AN53" s="538"/>
      <c r="AO53" s="539"/>
    </row>
    <row r="54" spans="1:42" ht="46.5" customHeight="1">
      <c r="A54" s="591"/>
      <c r="B54" s="615"/>
      <c r="C54" s="527" t="s">
        <v>423</v>
      </c>
      <c r="D54" s="596"/>
      <c r="E54" s="527"/>
      <c r="F54" s="541">
        <f>E54*D54</f>
        <v>0</v>
      </c>
      <c r="G54" s="527"/>
      <c r="H54" s="541">
        <f t="shared" si="77"/>
        <v>0</v>
      </c>
      <c r="I54" s="527"/>
      <c r="J54" s="541">
        <f t="shared" si="78"/>
        <v>0</v>
      </c>
      <c r="K54" s="527"/>
      <c r="L54" s="541">
        <f t="shared" si="79"/>
        <v>0</v>
      </c>
      <c r="M54" s="541"/>
      <c r="N54" s="541"/>
      <c r="O54" s="664">
        <f t="shared" si="80"/>
        <v>0</v>
      </c>
      <c r="P54" s="528">
        <f t="shared" si="81"/>
        <v>0</v>
      </c>
      <c r="Q54" s="530" t="b">
        <f t="shared" si="75"/>
        <v>1</v>
      </c>
      <c r="R54" s="493"/>
      <c r="U54" s="532"/>
      <c r="V54" s="522"/>
      <c r="W54" s="533"/>
      <c r="X54" s="522"/>
      <c r="Y54" s="533"/>
      <c r="Z54" s="522"/>
      <c r="AA54" s="533"/>
      <c r="AB54" s="522"/>
      <c r="AC54" s="534"/>
      <c r="AD54" s="535"/>
      <c r="AE54" s="536"/>
      <c r="AF54" s="533"/>
      <c r="AG54" s="533"/>
      <c r="AH54" s="533"/>
      <c r="AI54" s="534"/>
      <c r="AK54" s="537"/>
      <c r="AL54" s="538"/>
      <c r="AM54" s="538"/>
      <c r="AN54" s="538"/>
      <c r="AO54" s="539"/>
    </row>
    <row r="55" spans="1:42" s="447" customFormat="1" ht="14.25" customHeight="1">
      <c r="A55" s="591"/>
      <c r="B55" s="614"/>
      <c r="C55" s="595" t="s">
        <v>425</v>
      </c>
      <c r="D55" s="596"/>
      <c r="E55" s="595"/>
      <c r="F55" s="596">
        <f t="shared" si="76"/>
        <v>0</v>
      </c>
      <c r="G55" s="595"/>
      <c r="H55" s="596">
        <f t="shared" si="77"/>
        <v>0</v>
      </c>
      <c r="I55" s="595"/>
      <c r="J55" s="596">
        <f t="shared" si="78"/>
        <v>0</v>
      </c>
      <c r="K55" s="595"/>
      <c r="L55" s="596">
        <f t="shared" si="79"/>
        <v>0</v>
      </c>
      <c r="M55" s="596"/>
      <c r="N55" s="596">
        <f>M55*D55</f>
        <v>0</v>
      </c>
      <c r="O55" s="722">
        <f>E55+G55+I55+K55+M55</f>
        <v>0</v>
      </c>
      <c r="P55" s="528">
        <f t="shared" si="81"/>
        <v>0</v>
      </c>
      <c r="Q55" s="597" t="b">
        <f t="shared" si="75"/>
        <v>1</v>
      </c>
      <c r="R55" s="493"/>
      <c r="U55" s="616"/>
      <c r="V55" s="617"/>
      <c r="W55" s="618"/>
      <c r="X55" s="617"/>
      <c r="Y55" s="618"/>
      <c r="Z55" s="617"/>
      <c r="AA55" s="618"/>
      <c r="AB55" s="617"/>
      <c r="AC55" s="619"/>
      <c r="AD55" s="535"/>
      <c r="AE55" s="620"/>
      <c r="AF55" s="618"/>
      <c r="AG55" s="618"/>
      <c r="AH55" s="618"/>
      <c r="AI55" s="619"/>
      <c r="AK55" s="621"/>
      <c r="AL55" s="622"/>
      <c r="AM55" s="622"/>
      <c r="AN55" s="622"/>
      <c r="AO55" s="623"/>
    </row>
    <row r="56" spans="1:42" ht="14.25" customHeight="1">
      <c r="A56" s="591"/>
      <c r="B56" s="614"/>
      <c r="C56" s="527" t="s">
        <v>426</v>
      </c>
      <c r="D56" s="596"/>
      <c r="E56" s="527"/>
      <c r="F56" s="541">
        <f t="shared" si="76"/>
        <v>0</v>
      </c>
      <c r="G56" s="527"/>
      <c r="H56" s="541">
        <f>G56*D56*J7</f>
        <v>0</v>
      </c>
      <c r="I56" s="527"/>
      <c r="J56" s="541">
        <f>H56*I56*J7</f>
        <v>0</v>
      </c>
      <c r="K56" s="527"/>
      <c r="L56" s="541">
        <f>J56*K56*J7</f>
        <v>0</v>
      </c>
      <c r="M56" s="541"/>
      <c r="N56" s="541">
        <f>L56*M56*J7</f>
        <v>0</v>
      </c>
      <c r="O56" s="664">
        <f t="shared" si="80"/>
        <v>0</v>
      </c>
      <c r="P56" s="528">
        <f t="shared" si="81"/>
        <v>0</v>
      </c>
      <c r="Q56" s="530" t="b">
        <f t="shared" si="75"/>
        <v>1</v>
      </c>
      <c r="R56" s="493"/>
      <c r="U56" s="532">
        <f t="shared" si="82"/>
        <v>0</v>
      </c>
      <c r="V56" s="522" t="s">
        <v>76</v>
      </c>
      <c r="W56" s="533">
        <f t="shared" si="83"/>
        <v>0</v>
      </c>
      <c r="X56" s="522" t="s">
        <v>77</v>
      </c>
      <c r="Y56" s="533">
        <f t="shared" si="84"/>
        <v>0</v>
      </c>
      <c r="Z56" s="522" t="s">
        <v>78</v>
      </c>
      <c r="AA56" s="533">
        <f t="shared" si="85"/>
        <v>0</v>
      </c>
      <c r="AB56" s="522" t="s">
        <v>79</v>
      </c>
      <c r="AC56" s="534">
        <f t="shared" si="86"/>
        <v>0</v>
      </c>
      <c r="AD56" s="535"/>
      <c r="AE56" s="536">
        <f t="shared" si="87"/>
        <v>0</v>
      </c>
      <c r="AF56" s="533">
        <f t="shared" si="88"/>
        <v>0</v>
      </c>
      <c r="AG56" s="533">
        <f t="shared" si="89"/>
        <v>0</v>
      </c>
      <c r="AH56" s="533">
        <f t="shared" si="90"/>
        <v>0</v>
      </c>
      <c r="AI56" s="534">
        <f t="shared" si="91"/>
        <v>0</v>
      </c>
      <c r="AK56" s="537">
        <f t="shared" si="92"/>
        <v>0</v>
      </c>
      <c r="AL56" s="538">
        <f t="shared" si="92"/>
        <v>0</v>
      </c>
      <c r="AM56" s="538">
        <f t="shared" si="92"/>
        <v>0</v>
      </c>
      <c r="AN56" s="538">
        <f t="shared" si="92"/>
        <v>0</v>
      </c>
      <c r="AO56" s="539">
        <f t="shared" si="93"/>
        <v>0</v>
      </c>
      <c r="AP56" s="624"/>
    </row>
    <row r="57" spans="1:42" ht="14.25" customHeight="1">
      <c r="A57" s="625" t="s">
        <v>90</v>
      </c>
      <c r="B57" s="614"/>
      <c r="C57" s="527" t="s">
        <v>135</v>
      </c>
      <c r="D57" s="596"/>
      <c r="E57" s="527"/>
      <c r="F57" s="541">
        <f t="shared" si="76"/>
        <v>0</v>
      </c>
      <c r="G57" s="527"/>
      <c r="H57" s="541">
        <f>G57*D57*J7</f>
        <v>0</v>
      </c>
      <c r="I57" s="527"/>
      <c r="J57" s="541">
        <f>H57*I57*J7</f>
        <v>0</v>
      </c>
      <c r="K57" s="527"/>
      <c r="L57" s="541">
        <f>J57*K57*J7</f>
        <v>0</v>
      </c>
      <c r="M57" s="541"/>
      <c r="N57" s="541">
        <f>L57*M57*J7</f>
        <v>0</v>
      </c>
      <c r="O57" s="664">
        <f t="shared" si="80"/>
        <v>0</v>
      </c>
      <c r="P57" s="528">
        <f t="shared" si="81"/>
        <v>0</v>
      </c>
      <c r="Q57" s="530" t="b">
        <f t="shared" si="75"/>
        <v>1</v>
      </c>
      <c r="R57" s="493"/>
      <c r="U57" s="536"/>
      <c r="V57" s="522"/>
      <c r="W57" s="533"/>
      <c r="X57" s="522"/>
      <c r="Y57" s="533"/>
      <c r="Z57" s="522"/>
      <c r="AA57" s="533"/>
      <c r="AB57" s="522"/>
      <c r="AC57" s="534"/>
      <c r="AD57" s="535"/>
      <c r="AE57" s="536"/>
      <c r="AF57" s="533"/>
      <c r="AG57" s="533"/>
      <c r="AH57" s="533"/>
      <c r="AI57" s="534"/>
      <c r="AK57" s="537"/>
      <c r="AL57" s="537"/>
      <c r="AM57" s="537"/>
      <c r="AN57" s="537"/>
      <c r="AO57" s="626"/>
      <c r="AP57" s="624"/>
    </row>
    <row r="58" spans="1:42" ht="14.25" customHeight="1">
      <c r="A58" s="625"/>
      <c r="B58" s="614"/>
      <c r="C58" s="527"/>
      <c r="D58" s="528"/>
      <c r="E58" s="527"/>
      <c r="F58" s="578"/>
      <c r="G58" s="578"/>
      <c r="H58" s="578"/>
      <c r="I58" s="578"/>
      <c r="J58" s="578"/>
      <c r="K58" s="578"/>
      <c r="L58" s="578"/>
      <c r="M58" s="578"/>
      <c r="N58" s="578"/>
      <c r="O58" s="578"/>
      <c r="P58" s="578"/>
      <c r="Q58" s="530"/>
      <c r="R58" s="493"/>
      <c r="U58" s="536"/>
      <c r="V58" s="522"/>
      <c r="W58" s="533"/>
      <c r="X58" s="522"/>
      <c r="Y58" s="533"/>
      <c r="Z58" s="522"/>
      <c r="AA58" s="533"/>
      <c r="AB58" s="522"/>
      <c r="AC58" s="534"/>
      <c r="AD58" s="535"/>
      <c r="AE58" s="536"/>
      <c r="AF58" s="533"/>
      <c r="AG58" s="533"/>
      <c r="AH58" s="533"/>
      <c r="AI58" s="534"/>
      <c r="AK58" s="537"/>
      <c r="AL58" s="537"/>
      <c r="AM58" s="537"/>
      <c r="AN58" s="537"/>
      <c r="AO58" s="626"/>
      <c r="AP58" s="624"/>
    </row>
    <row r="59" spans="1:42" s="627" customFormat="1" ht="14.25" customHeight="1">
      <c r="B59" s="517" t="s">
        <v>427</v>
      </c>
      <c r="C59" s="519">
        <f t="shared" ref="C59:O59" si="94">SUBTOTAL(9,C49:C58)</f>
        <v>0</v>
      </c>
      <c r="D59" s="519">
        <f>SUBTOTAL(9,D49:D58)</f>
        <v>0</v>
      </c>
      <c r="E59" s="519">
        <f t="shared" si="94"/>
        <v>0</v>
      </c>
      <c r="F59" s="519">
        <f t="shared" si="94"/>
        <v>0</v>
      </c>
      <c r="G59" s="519">
        <f t="shared" si="94"/>
        <v>0</v>
      </c>
      <c r="H59" s="519">
        <f t="shared" si="94"/>
        <v>0</v>
      </c>
      <c r="I59" s="519">
        <f t="shared" si="94"/>
        <v>0</v>
      </c>
      <c r="J59" s="519">
        <f t="shared" si="94"/>
        <v>0</v>
      </c>
      <c r="K59" s="519">
        <f t="shared" si="94"/>
        <v>0</v>
      </c>
      <c r="L59" s="519">
        <f t="shared" si="94"/>
        <v>0</v>
      </c>
      <c r="M59" s="519">
        <f t="shared" si="94"/>
        <v>0</v>
      </c>
      <c r="N59" s="519">
        <f>SUBTOTAL(9,N49:N58)</f>
        <v>0</v>
      </c>
      <c r="O59" s="519">
        <f t="shared" si="94"/>
        <v>0</v>
      </c>
      <c r="P59" s="519">
        <f>SUBTOTAL(9,P49:P58)</f>
        <v>0</v>
      </c>
      <c r="Q59" s="530" t="b">
        <f t="shared" si="75"/>
        <v>1</v>
      </c>
      <c r="R59" s="628"/>
      <c r="S59" s="629"/>
      <c r="T59" s="629"/>
      <c r="U59" s="504">
        <f>SUM(U49:U56)</f>
        <v>0</v>
      </c>
      <c r="V59" s="522" t="s">
        <v>76</v>
      </c>
      <c r="W59" s="504">
        <f>SUM(W49:W56)</f>
        <v>0</v>
      </c>
      <c r="X59" s="522" t="s">
        <v>77</v>
      </c>
      <c r="Y59" s="504">
        <f>SUM(Y49:Y56)</f>
        <v>0</v>
      </c>
      <c r="Z59" s="522" t="s">
        <v>78</v>
      </c>
      <c r="AA59" s="504">
        <f>SUM(AA49:AA56)</f>
        <v>0</v>
      </c>
      <c r="AB59" s="522" t="s">
        <v>79</v>
      </c>
      <c r="AC59" s="504">
        <f>SUM(AC49:AC56)</f>
        <v>0</v>
      </c>
      <c r="AD59" s="535"/>
      <c r="AE59" s="504">
        <f>SUM(AE49:AE56)</f>
        <v>0</v>
      </c>
      <c r="AF59" s="504">
        <f>SUM(AF49:AF56)</f>
        <v>0</v>
      </c>
      <c r="AG59" s="504">
        <f>SUM(AG49:AG56)</f>
        <v>0</v>
      </c>
      <c r="AH59" s="504">
        <f>SUM(AH49:AH56)</f>
        <v>0</v>
      </c>
      <c r="AI59" s="504">
        <f>SUM(AI49:AI56)</f>
        <v>0</v>
      </c>
      <c r="AJ59" s="504"/>
      <c r="AK59" s="504">
        <f>SUM(AK49:AK56)</f>
        <v>0</v>
      </c>
      <c r="AL59" s="504">
        <f>SUM(AL49:AL56)</f>
        <v>0</v>
      </c>
      <c r="AM59" s="504">
        <f>SUM(AM49:AM56)</f>
        <v>0</v>
      </c>
      <c r="AN59" s="504">
        <f>SUM(AN49:AN56)</f>
        <v>0</v>
      </c>
      <c r="AO59" s="504">
        <f>SUM(AO49:AO56)</f>
        <v>0</v>
      </c>
    </row>
    <row r="60" spans="1:42" ht="14.25" customHeight="1">
      <c r="B60" s="630"/>
      <c r="C60" s="527"/>
      <c r="D60" s="528"/>
      <c r="E60" s="527"/>
      <c r="F60" s="541"/>
      <c r="G60" s="527"/>
      <c r="H60" s="541"/>
      <c r="I60" s="527"/>
      <c r="J60" s="541"/>
      <c r="K60" s="527"/>
      <c r="L60" s="541"/>
      <c r="M60" s="541"/>
      <c r="N60" s="541"/>
      <c r="O60" s="664"/>
      <c r="P60" s="528"/>
      <c r="Q60" s="530" t="b">
        <f t="shared" ref="Q60:Q72" si="95">((D60*E60*$F$7)+(G60*D60*$H$7)+(D60*I60*$J$7^2)+(D60*K60*$L$7^3))=P60</f>
        <v>1</v>
      </c>
      <c r="R60" s="631"/>
      <c r="U60" s="632"/>
      <c r="V60" s="522" t="s">
        <v>76</v>
      </c>
      <c r="W60" s="633"/>
      <c r="X60" s="522" t="s">
        <v>77</v>
      </c>
      <c r="Y60" s="633"/>
      <c r="Z60" s="522" t="s">
        <v>78</v>
      </c>
      <c r="AA60" s="633"/>
      <c r="AB60" s="522" t="s">
        <v>79</v>
      </c>
      <c r="AC60" s="634"/>
      <c r="AD60" s="535"/>
      <c r="AE60" s="635"/>
      <c r="AF60" s="636"/>
      <c r="AG60" s="636"/>
      <c r="AH60" s="636"/>
      <c r="AI60" s="637"/>
      <c r="AK60" s="638"/>
      <c r="AL60" s="639"/>
      <c r="AM60" s="639"/>
      <c r="AN60" s="639"/>
      <c r="AO60" s="640"/>
    </row>
    <row r="61" spans="1:42" s="442" customFormat="1" ht="14.25" customHeight="1">
      <c r="B61" s="502" t="s">
        <v>520</v>
      </c>
      <c r="C61" s="589"/>
      <c r="D61" s="504"/>
      <c r="E61" s="504"/>
      <c r="F61" s="504"/>
      <c r="G61" s="503"/>
      <c r="H61" s="504"/>
      <c r="I61" s="503"/>
      <c r="J61" s="504"/>
      <c r="K61" s="503"/>
      <c r="L61" s="504"/>
      <c r="M61" s="504"/>
      <c r="N61" s="504"/>
      <c r="O61" s="503"/>
      <c r="P61" s="504"/>
      <c r="Q61" s="530" t="b">
        <f t="shared" si="95"/>
        <v>1</v>
      </c>
      <c r="R61" s="506"/>
      <c r="S61" s="557"/>
      <c r="T61" s="447"/>
      <c r="U61" s="641"/>
      <c r="V61" s="522"/>
      <c r="W61" s="641"/>
      <c r="X61" s="522"/>
      <c r="Y61" s="641"/>
      <c r="Z61" s="522"/>
      <c r="AA61" s="641"/>
      <c r="AB61" s="522"/>
      <c r="AC61" s="642"/>
      <c r="AD61" s="535"/>
      <c r="AE61" s="566"/>
      <c r="AF61" s="643"/>
      <c r="AG61" s="643"/>
      <c r="AH61" s="643"/>
      <c r="AI61" s="643"/>
      <c r="AJ61" s="557"/>
      <c r="AK61" s="644"/>
      <c r="AL61" s="644"/>
      <c r="AM61" s="644"/>
      <c r="AN61" s="644"/>
      <c r="AO61" s="644"/>
    </row>
    <row r="62" spans="1:42" s="442" customFormat="1" ht="14.25" customHeight="1">
      <c r="B62" s="517"/>
      <c r="C62" s="519"/>
      <c r="D62" s="519"/>
      <c r="E62" s="519"/>
      <c r="F62" s="519"/>
      <c r="G62" s="518"/>
      <c r="H62" s="519"/>
      <c r="I62" s="518"/>
      <c r="J62" s="519"/>
      <c r="K62" s="518"/>
      <c r="L62" s="519"/>
      <c r="M62" s="519"/>
      <c r="N62" s="519"/>
      <c r="O62" s="518"/>
      <c r="P62" s="519"/>
      <c r="Q62" s="530" t="b">
        <f t="shared" si="95"/>
        <v>1</v>
      </c>
      <c r="R62" s="521"/>
      <c r="S62" s="557"/>
      <c r="T62" s="447"/>
      <c r="U62" s="547"/>
      <c r="V62" s="522" t="s">
        <v>76</v>
      </c>
      <c r="W62" s="548"/>
      <c r="X62" s="522" t="s">
        <v>77</v>
      </c>
      <c r="Y62" s="548"/>
      <c r="Z62" s="522" t="s">
        <v>78</v>
      </c>
      <c r="AA62" s="548"/>
      <c r="AB62" s="522" t="s">
        <v>79</v>
      </c>
      <c r="AC62" s="549"/>
      <c r="AD62" s="535"/>
      <c r="AE62" s="550"/>
      <c r="AF62" s="551"/>
      <c r="AG62" s="551"/>
      <c r="AH62" s="551"/>
      <c r="AI62" s="552"/>
      <c r="AJ62" s="557"/>
      <c r="AK62" s="553"/>
      <c r="AL62" s="554"/>
      <c r="AM62" s="554"/>
      <c r="AN62" s="554"/>
      <c r="AO62" s="555"/>
    </row>
    <row r="63" spans="1:42" ht="32">
      <c r="B63" s="645" t="s">
        <v>506</v>
      </c>
      <c r="C63" s="646"/>
      <c r="D63" s="647">
        <f>SUBTOTAL(9,D64:D73)</f>
        <v>0</v>
      </c>
      <c r="E63" s="647">
        <f t="shared" ref="E63:K63" si="96">SUBTOTAL(9,E64:E73)</f>
        <v>0</v>
      </c>
      <c r="F63" s="647">
        <f>SUBTOTAL(9,F64:F73)</f>
        <v>0</v>
      </c>
      <c r="G63" s="647">
        <f t="shared" si="96"/>
        <v>0</v>
      </c>
      <c r="H63" s="647">
        <f>SUBTOTAL(9,H64:H73)</f>
        <v>0</v>
      </c>
      <c r="I63" s="647">
        <f t="shared" si="96"/>
        <v>1</v>
      </c>
      <c r="J63" s="647">
        <f>SUBTOTAL(9,J64:J72)</f>
        <v>0</v>
      </c>
      <c r="K63" s="647">
        <f t="shared" si="96"/>
        <v>0</v>
      </c>
      <c r="L63" s="647">
        <f>SUBTOTAL(9,L64:L72)</f>
        <v>0</v>
      </c>
      <c r="M63" s="647">
        <f t="shared" ref="M63" si="97">SUBTOTAL(9,M64:M72)</f>
        <v>0</v>
      </c>
      <c r="N63" s="647">
        <f>SUBTOTAL(9,N64:N72)</f>
        <v>0</v>
      </c>
      <c r="O63" s="647">
        <f>SUBTOTAL(9,O64:O73)</f>
        <v>1</v>
      </c>
      <c r="P63" s="647">
        <f>SUBTOTAL(9,P64:P73)</f>
        <v>0</v>
      </c>
      <c r="Q63" s="530" t="b">
        <f t="shared" si="95"/>
        <v>1</v>
      </c>
      <c r="R63" s="648"/>
      <c r="U63" s="647">
        <f t="shared" ref="U63:AC63" si="98">SUM(U64:U72)</f>
        <v>0</v>
      </c>
      <c r="V63" s="647">
        <f t="shared" si="98"/>
        <v>0</v>
      </c>
      <c r="W63" s="647">
        <f t="shared" si="98"/>
        <v>0</v>
      </c>
      <c r="X63" s="647">
        <f t="shared" si="98"/>
        <v>0</v>
      </c>
      <c r="Y63" s="647">
        <f t="shared" si="98"/>
        <v>0</v>
      </c>
      <c r="Z63" s="647">
        <f t="shared" si="98"/>
        <v>0</v>
      </c>
      <c r="AA63" s="647">
        <f t="shared" si="98"/>
        <v>0</v>
      </c>
      <c r="AB63" s="647">
        <f t="shared" si="98"/>
        <v>0</v>
      </c>
      <c r="AC63" s="647">
        <f t="shared" si="98"/>
        <v>0</v>
      </c>
      <c r="AD63" s="647"/>
      <c r="AE63" s="647">
        <f>SUM(AE64:AE72)</f>
        <v>0</v>
      </c>
      <c r="AF63" s="647">
        <f>SUM(AF64:AF72)</f>
        <v>0</v>
      </c>
      <c r="AG63" s="647">
        <f>SUM(AG64:AG72)</f>
        <v>0</v>
      </c>
      <c r="AH63" s="647">
        <f>SUM(AH64:AH72)</f>
        <v>0</v>
      </c>
      <c r="AI63" s="647">
        <f>SUM(AI64:AI72)</f>
        <v>0</v>
      </c>
      <c r="AJ63" s="647"/>
      <c r="AK63" s="647">
        <f>SUM(AK64:AK72)</f>
        <v>0</v>
      </c>
      <c r="AL63" s="647">
        <f>SUM(AL64:AL72)</f>
        <v>0</v>
      </c>
      <c r="AM63" s="647">
        <f>SUM(AM64:AM72)</f>
        <v>0</v>
      </c>
      <c r="AN63" s="647">
        <f>SUM(AN64:AN72)</f>
        <v>0</v>
      </c>
      <c r="AO63" s="647">
        <f>SUM(AO64:AO72)</f>
        <v>0</v>
      </c>
    </row>
    <row r="64" spans="1:42" s="447" customFormat="1" ht="30" customHeight="1">
      <c r="A64" s="591"/>
      <c r="B64" s="650"/>
      <c r="C64" s="595" t="s">
        <v>428</v>
      </c>
      <c r="D64" s="596"/>
      <c r="E64" s="596"/>
      <c r="F64" s="596">
        <f>D64*E64</f>
        <v>0</v>
      </c>
      <c r="G64" s="595"/>
      <c r="H64" s="596">
        <f>(G64*D64)</f>
        <v>0</v>
      </c>
      <c r="I64" s="595">
        <v>1</v>
      </c>
      <c r="J64" s="596">
        <f>I64*D64</f>
        <v>0</v>
      </c>
      <c r="K64" s="595">
        <v>0</v>
      </c>
      <c r="L64" s="596">
        <f>D64*K64</f>
        <v>0</v>
      </c>
      <c r="M64" s="596"/>
      <c r="N64" s="596"/>
      <c r="O64" s="593">
        <f>+E64+G64+I64+K64</f>
        <v>1</v>
      </c>
      <c r="P64" s="596">
        <f>F64+H64+J64+L64+N64</f>
        <v>0</v>
      </c>
      <c r="Q64" s="530" t="b">
        <f t="shared" si="95"/>
        <v>1</v>
      </c>
      <c r="R64" s="493"/>
      <c r="U64" s="532">
        <f t="shared" ref="U64:U72" si="99">F64</f>
        <v>0</v>
      </c>
      <c r="V64" s="522" t="s">
        <v>76</v>
      </c>
      <c r="W64" s="533">
        <f t="shared" ref="W64:W72" si="100">H64</f>
        <v>0</v>
      </c>
      <c r="X64" s="522" t="s">
        <v>77</v>
      </c>
      <c r="Y64" s="533">
        <f t="shared" ref="Y64:Y72" si="101">J64</f>
        <v>0</v>
      </c>
      <c r="Z64" s="522" t="s">
        <v>78</v>
      </c>
      <c r="AA64" s="533">
        <f t="shared" ref="AA64:AA72" si="102">L64</f>
        <v>0</v>
      </c>
      <c r="AB64" s="522" t="s">
        <v>79</v>
      </c>
      <c r="AC64" s="534">
        <f t="shared" ref="AC64:AC72" si="103">SUM(U64:AA64)</f>
        <v>0</v>
      </c>
      <c r="AD64" s="535"/>
      <c r="AE64" s="536">
        <f t="shared" ref="AE64:AE72" si="104">U64/$AG$6</f>
        <v>0</v>
      </c>
      <c r="AF64" s="533">
        <f t="shared" ref="AF64:AF72" si="105">W64/$AG$6</f>
        <v>0</v>
      </c>
      <c r="AG64" s="533">
        <f t="shared" ref="AG64:AG72" si="106">Y64/$AG$6</f>
        <v>0</v>
      </c>
      <c r="AH64" s="533">
        <f t="shared" ref="AH64:AH72" si="107">AA64/$AG$6</f>
        <v>0</v>
      </c>
      <c r="AI64" s="534">
        <f t="shared" ref="AI64:AI72" si="108">SUM(AE64:AH64)</f>
        <v>0</v>
      </c>
      <c r="AK64" s="537">
        <f t="shared" ref="AK64:AN64" si="109">AE64*$AM$6</f>
        <v>0</v>
      </c>
      <c r="AL64" s="538">
        <f t="shared" si="109"/>
        <v>0</v>
      </c>
      <c r="AM64" s="538">
        <f t="shared" si="109"/>
        <v>0</v>
      </c>
      <c r="AN64" s="538">
        <f t="shared" si="109"/>
        <v>0</v>
      </c>
      <c r="AO64" s="539">
        <f t="shared" ref="AO64:AO72" si="110">SUM(AK64:AN64)</f>
        <v>0</v>
      </c>
      <c r="AP64" s="542"/>
    </row>
    <row r="65" spans="2:44" s="447" customFormat="1" ht="23.15" customHeight="1">
      <c r="B65" s="650"/>
      <c r="C65" s="595" t="s">
        <v>429</v>
      </c>
      <c r="D65" s="596"/>
      <c r="E65" s="595"/>
      <c r="F65" s="596">
        <f t="shared" ref="F65" si="111">E65*D65</f>
        <v>0</v>
      </c>
      <c r="G65" s="595"/>
      <c r="H65" s="596">
        <f t="shared" ref="H65:H70" si="112">G65*D65</f>
        <v>0</v>
      </c>
      <c r="I65" s="595"/>
      <c r="J65" s="596">
        <f>D65*I65</f>
        <v>0</v>
      </c>
      <c r="K65" s="595"/>
      <c r="L65" s="596">
        <f>D65*K65</f>
        <v>0</v>
      </c>
      <c r="M65" s="595"/>
      <c r="N65" s="596">
        <f>89000*M65</f>
        <v>0</v>
      </c>
      <c r="O65" s="593">
        <f t="shared" ref="O65:O70" si="113">+E65+G65+I65+K65</f>
        <v>0</v>
      </c>
      <c r="P65" s="596">
        <f t="shared" ref="P65:P71" si="114">F65+H65+J65+L65+N65</f>
        <v>0</v>
      </c>
      <c r="Q65" s="530" t="b">
        <f t="shared" si="95"/>
        <v>1</v>
      </c>
      <c r="R65" s="493"/>
      <c r="U65" s="532">
        <f t="shared" si="99"/>
        <v>0</v>
      </c>
      <c r="V65" s="522" t="s">
        <v>76</v>
      </c>
      <c r="W65" s="533">
        <f t="shared" si="100"/>
        <v>0</v>
      </c>
      <c r="X65" s="522" t="s">
        <v>77</v>
      </c>
      <c r="Y65" s="533">
        <f t="shared" si="101"/>
        <v>0</v>
      </c>
      <c r="Z65" s="522" t="s">
        <v>78</v>
      </c>
      <c r="AA65" s="533">
        <f t="shared" si="102"/>
        <v>0</v>
      </c>
      <c r="AB65" s="522" t="s">
        <v>79</v>
      </c>
      <c r="AC65" s="534">
        <f t="shared" si="103"/>
        <v>0</v>
      </c>
      <c r="AD65" s="535"/>
      <c r="AE65" s="536">
        <f t="shared" si="104"/>
        <v>0</v>
      </c>
      <c r="AF65" s="533">
        <f t="shared" si="105"/>
        <v>0</v>
      </c>
      <c r="AG65" s="533">
        <f t="shared" si="106"/>
        <v>0</v>
      </c>
      <c r="AH65" s="533">
        <f t="shared" si="107"/>
        <v>0</v>
      </c>
      <c r="AI65" s="534">
        <f t="shared" si="108"/>
        <v>0</v>
      </c>
      <c r="AK65" s="537">
        <f t="shared" ref="AK65:AN65" si="115">AE65*$AM$6</f>
        <v>0</v>
      </c>
      <c r="AL65" s="538">
        <f t="shared" si="115"/>
        <v>0</v>
      </c>
      <c r="AM65" s="538">
        <f t="shared" si="115"/>
        <v>0</v>
      </c>
      <c r="AN65" s="538">
        <f t="shared" si="115"/>
        <v>0</v>
      </c>
      <c r="AO65" s="539">
        <f t="shared" si="110"/>
        <v>0</v>
      </c>
      <c r="AR65" s="535"/>
    </row>
    <row r="66" spans="2:44" s="447" customFormat="1" ht="31" customHeight="1">
      <c r="B66" s="650"/>
      <c r="C66" s="595" t="s">
        <v>430</v>
      </c>
      <c r="D66" s="596"/>
      <c r="E66" s="595"/>
      <c r="F66" s="596">
        <f>E66*D66</f>
        <v>0</v>
      </c>
      <c r="G66" s="595"/>
      <c r="H66" s="596">
        <f t="shared" si="112"/>
        <v>0</v>
      </c>
      <c r="I66" s="595"/>
      <c r="J66" s="596">
        <f>I66*D66</f>
        <v>0</v>
      </c>
      <c r="K66" s="595"/>
      <c r="L66" s="596">
        <f>D66*K66</f>
        <v>0</v>
      </c>
      <c r="M66" s="596"/>
      <c r="N66" s="596"/>
      <c r="O66" s="593">
        <f t="shared" si="113"/>
        <v>0</v>
      </c>
      <c r="P66" s="596">
        <f t="shared" si="114"/>
        <v>0</v>
      </c>
      <c r="Q66" s="530" t="b">
        <f t="shared" si="95"/>
        <v>1</v>
      </c>
      <c r="R66" s="493"/>
      <c r="U66" s="532">
        <f>F66</f>
        <v>0</v>
      </c>
      <c r="V66" s="522" t="s">
        <v>76</v>
      </c>
      <c r="W66" s="533">
        <f t="shared" si="100"/>
        <v>0</v>
      </c>
      <c r="X66" s="522" t="s">
        <v>77</v>
      </c>
      <c r="Y66" s="533">
        <f t="shared" si="101"/>
        <v>0</v>
      </c>
      <c r="Z66" s="522" t="s">
        <v>78</v>
      </c>
      <c r="AA66" s="533">
        <f t="shared" si="102"/>
        <v>0</v>
      </c>
      <c r="AB66" s="522" t="s">
        <v>79</v>
      </c>
      <c r="AC66" s="534">
        <f t="shared" si="103"/>
        <v>0</v>
      </c>
      <c r="AD66" s="535"/>
      <c r="AE66" s="536">
        <f t="shared" si="104"/>
        <v>0</v>
      </c>
      <c r="AF66" s="533">
        <f t="shared" si="105"/>
        <v>0</v>
      </c>
      <c r="AG66" s="533">
        <f t="shared" si="106"/>
        <v>0</v>
      </c>
      <c r="AH66" s="533">
        <f t="shared" si="107"/>
        <v>0</v>
      </c>
      <c r="AI66" s="534">
        <f t="shared" si="108"/>
        <v>0</v>
      </c>
      <c r="AK66" s="537">
        <f t="shared" ref="AK66:AN72" si="116">AE66*$AM$6</f>
        <v>0</v>
      </c>
      <c r="AL66" s="538">
        <f t="shared" si="116"/>
        <v>0</v>
      </c>
      <c r="AM66" s="538">
        <f t="shared" si="116"/>
        <v>0</v>
      </c>
      <c r="AN66" s="538">
        <f t="shared" si="116"/>
        <v>0</v>
      </c>
      <c r="AO66" s="539">
        <f t="shared" si="110"/>
        <v>0</v>
      </c>
    </row>
    <row r="67" spans="2:44" s="447" customFormat="1" ht="40.5" customHeight="1">
      <c r="B67" s="650"/>
      <c r="C67" s="595" t="s">
        <v>431</v>
      </c>
      <c r="D67" s="596"/>
      <c r="E67" s="595"/>
      <c r="F67" s="596">
        <f t="shared" ref="F67:F70" si="117">E67*D67</f>
        <v>0</v>
      </c>
      <c r="G67" s="595"/>
      <c r="H67" s="596">
        <f t="shared" si="112"/>
        <v>0</v>
      </c>
      <c r="I67" s="595"/>
      <c r="J67" s="596">
        <f>I67*D67</f>
        <v>0</v>
      </c>
      <c r="K67" s="595"/>
      <c r="L67" s="596"/>
      <c r="M67" s="596"/>
      <c r="N67" s="596"/>
      <c r="O67" s="593">
        <f t="shared" si="113"/>
        <v>0</v>
      </c>
      <c r="P67" s="596">
        <f t="shared" si="114"/>
        <v>0</v>
      </c>
      <c r="Q67" s="530"/>
      <c r="R67" s="493"/>
      <c r="U67" s="532"/>
      <c r="V67" s="522"/>
      <c r="W67" s="533"/>
      <c r="X67" s="522"/>
      <c r="Y67" s="533"/>
      <c r="Z67" s="522"/>
      <c r="AA67" s="533"/>
      <c r="AB67" s="522"/>
      <c r="AC67" s="534"/>
      <c r="AD67" s="535"/>
      <c r="AE67" s="536"/>
      <c r="AF67" s="533"/>
      <c r="AG67" s="533"/>
      <c r="AH67" s="533"/>
      <c r="AI67" s="534"/>
      <c r="AK67" s="537"/>
      <c r="AL67" s="538"/>
      <c r="AM67" s="538"/>
      <c r="AN67" s="538"/>
      <c r="AO67" s="539"/>
    </row>
    <row r="68" spans="2:44" s="447" customFormat="1" ht="30" customHeight="1">
      <c r="B68" s="650"/>
      <c r="C68" s="595" t="s">
        <v>423</v>
      </c>
      <c r="D68" s="596"/>
      <c r="E68" s="595"/>
      <c r="F68" s="596">
        <f t="shared" si="117"/>
        <v>0</v>
      </c>
      <c r="G68" s="595"/>
      <c r="H68" s="596">
        <f t="shared" si="112"/>
        <v>0</v>
      </c>
      <c r="I68" s="595"/>
      <c r="J68" s="596">
        <f t="shared" ref="J68:J70" si="118">I68*D68</f>
        <v>0</v>
      </c>
      <c r="K68" s="595"/>
      <c r="L68" s="596">
        <f t="shared" ref="L68:L71" si="119">D68*K68</f>
        <v>0</v>
      </c>
      <c r="M68" s="596"/>
      <c r="N68" s="596"/>
      <c r="O68" s="593">
        <f t="shared" si="113"/>
        <v>0</v>
      </c>
      <c r="P68" s="596">
        <f t="shared" si="114"/>
        <v>0</v>
      </c>
      <c r="Q68" s="530"/>
      <c r="R68" s="493"/>
      <c r="U68" s="532"/>
      <c r="V68" s="522"/>
      <c r="W68" s="533"/>
      <c r="X68" s="522"/>
      <c r="Y68" s="533"/>
      <c r="Z68" s="522"/>
      <c r="AA68" s="533"/>
      <c r="AB68" s="522"/>
      <c r="AC68" s="534"/>
      <c r="AD68" s="535"/>
      <c r="AE68" s="536"/>
      <c r="AF68" s="533"/>
      <c r="AG68" s="533"/>
      <c r="AH68" s="533"/>
      <c r="AI68" s="534"/>
      <c r="AK68" s="537"/>
      <c r="AL68" s="538"/>
      <c r="AM68" s="538"/>
      <c r="AN68" s="538"/>
      <c r="AO68" s="539"/>
    </row>
    <row r="69" spans="2:44" s="447" customFormat="1" ht="23.15" customHeight="1">
      <c r="B69" s="650"/>
      <c r="C69" s="595" t="s">
        <v>432</v>
      </c>
      <c r="D69" s="596"/>
      <c r="E69" s="595"/>
      <c r="F69" s="596">
        <f t="shared" si="117"/>
        <v>0</v>
      </c>
      <c r="G69" s="595"/>
      <c r="H69" s="596">
        <f t="shared" si="112"/>
        <v>0</v>
      </c>
      <c r="I69" s="595"/>
      <c r="J69" s="596">
        <f t="shared" si="118"/>
        <v>0</v>
      </c>
      <c r="K69" s="595"/>
      <c r="L69" s="596">
        <f t="shared" si="119"/>
        <v>0</v>
      </c>
      <c r="M69" s="596"/>
      <c r="N69" s="596"/>
      <c r="O69" s="593">
        <f t="shared" si="113"/>
        <v>0</v>
      </c>
      <c r="P69" s="596">
        <f t="shared" si="114"/>
        <v>0</v>
      </c>
      <c r="Q69" s="530"/>
      <c r="R69" s="493"/>
      <c r="U69" s="532"/>
      <c r="V69" s="522"/>
      <c r="W69" s="533"/>
      <c r="X69" s="522"/>
      <c r="Y69" s="533"/>
      <c r="Z69" s="522"/>
      <c r="AA69" s="533"/>
      <c r="AB69" s="522"/>
      <c r="AC69" s="534"/>
      <c r="AD69" s="535"/>
      <c r="AE69" s="536"/>
      <c r="AF69" s="533"/>
      <c r="AG69" s="533"/>
      <c r="AH69" s="533"/>
      <c r="AI69" s="534"/>
      <c r="AK69" s="537"/>
      <c r="AL69" s="538"/>
      <c r="AM69" s="538"/>
      <c r="AN69" s="538"/>
      <c r="AO69" s="539"/>
    </row>
    <row r="70" spans="2:44" s="447" customFormat="1" ht="23.5" customHeight="1" thickBot="1">
      <c r="B70" s="650"/>
      <c r="C70" s="651" t="s">
        <v>423</v>
      </c>
      <c r="D70" s="652"/>
      <c r="E70" s="651"/>
      <c r="F70" s="596">
        <f t="shared" si="117"/>
        <v>0</v>
      </c>
      <c r="G70" s="651"/>
      <c r="H70" s="596">
        <f t="shared" si="112"/>
        <v>0</v>
      </c>
      <c r="I70" s="595"/>
      <c r="J70" s="596">
        <f t="shared" si="118"/>
        <v>0</v>
      </c>
      <c r="K70" s="595"/>
      <c r="L70" s="596">
        <f t="shared" si="119"/>
        <v>0</v>
      </c>
      <c r="M70" s="596"/>
      <c r="N70" s="596">
        <f>D70*M70</f>
        <v>0</v>
      </c>
      <c r="O70" s="593">
        <f t="shared" si="113"/>
        <v>0</v>
      </c>
      <c r="P70" s="596">
        <f t="shared" si="114"/>
        <v>0</v>
      </c>
      <c r="Q70" s="597"/>
      <c r="R70" s="493"/>
      <c r="U70" s="616"/>
      <c r="V70" s="617"/>
      <c r="W70" s="618"/>
      <c r="X70" s="617"/>
      <c r="Y70" s="618"/>
      <c r="Z70" s="617"/>
      <c r="AA70" s="618"/>
      <c r="AB70" s="617"/>
      <c r="AC70" s="619"/>
      <c r="AD70" s="535"/>
      <c r="AE70" s="620"/>
      <c r="AF70" s="618"/>
      <c r="AG70" s="618"/>
      <c r="AH70" s="618"/>
      <c r="AI70" s="619"/>
      <c r="AK70" s="621"/>
      <c r="AL70" s="622"/>
      <c r="AM70" s="622"/>
      <c r="AN70" s="622"/>
      <c r="AO70" s="623"/>
      <c r="AR70" s="653"/>
    </row>
    <row r="71" spans="2:44" s="447" customFormat="1" ht="35.15" customHeight="1">
      <c r="B71" s="654"/>
      <c r="C71" s="655" t="s">
        <v>424</v>
      </c>
      <c r="D71" s="656"/>
      <c r="E71" s="657"/>
      <c r="F71" s="658">
        <f>E71*D71</f>
        <v>0</v>
      </c>
      <c r="G71" s="723"/>
      <c r="H71" s="724">
        <f>G71*D71</f>
        <v>0</v>
      </c>
      <c r="I71" s="595"/>
      <c r="J71" s="596">
        <f>D71*I71</f>
        <v>0</v>
      </c>
      <c r="K71" s="595"/>
      <c r="L71" s="596">
        <f t="shared" si="119"/>
        <v>0</v>
      </c>
      <c r="M71" s="595"/>
      <c r="N71" s="596">
        <f>D71*M71</f>
        <v>0</v>
      </c>
      <c r="O71" s="593">
        <f>+E71+G71+I71+K71</f>
        <v>0</v>
      </c>
      <c r="P71" s="596">
        <f t="shared" si="114"/>
        <v>0</v>
      </c>
      <c r="Q71" s="597" t="b">
        <f t="shared" si="95"/>
        <v>1</v>
      </c>
      <c r="R71" s="493"/>
      <c r="U71" s="616"/>
      <c r="V71" s="617"/>
      <c r="W71" s="618"/>
      <c r="X71" s="617"/>
      <c r="Y71" s="618"/>
      <c r="Z71" s="617"/>
      <c r="AA71" s="618">
        <f t="shared" si="102"/>
        <v>0</v>
      </c>
      <c r="AB71" s="617"/>
      <c r="AC71" s="619"/>
      <c r="AD71" s="535"/>
      <c r="AE71" s="620"/>
      <c r="AF71" s="618"/>
      <c r="AG71" s="618"/>
      <c r="AH71" s="618">
        <f t="shared" si="107"/>
        <v>0</v>
      </c>
      <c r="AI71" s="619"/>
      <c r="AK71" s="621"/>
      <c r="AL71" s="622"/>
      <c r="AM71" s="622"/>
      <c r="AN71" s="622">
        <f t="shared" si="116"/>
        <v>0</v>
      </c>
      <c r="AO71" s="623"/>
      <c r="AR71" s="659"/>
    </row>
    <row r="72" spans="2:44" s="447" customFormat="1" ht="56.5" customHeight="1">
      <c r="B72" s="650"/>
      <c r="C72" s="595" t="s">
        <v>424</v>
      </c>
      <c r="D72" s="596"/>
      <c r="E72" s="595"/>
      <c r="F72" s="596">
        <f>E72*D72*50%</f>
        <v>0</v>
      </c>
      <c r="G72" s="595"/>
      <c r="H72" s="596">
        <f>(G72*D72)</f>
        <v>0</v>
      </c>
      <c r="I72" s="595"/>
      <c r="J72" s="596">
        <f>I72*D72</f>
        <v>0</v>
      </c>
      <c r="K72" s="595"/>
      <c r="L72" s="596">
        <f>D72*K72</f>
        <v>0</v>
      </c>
      <c r="M72" s="596"/>
      <c r="N72" s="596">
        <f>(D72*M72)*50%</f>
        <v>0</v>
      </c>
      <c r="O72" s="722">
        <f>+E72+G72+I72+K72+M72</f>
        <v>0</v>
      </c>
      <c r="P72" s="596">
        <f>F72+H72+J72+L72+N72</f>
        <v>0</v>
      </c>
      <c r="Q72" s="530" t="b">
        <f t="shared" si="95"/>
        <v>1</v>
      </c>
      <c r="R72" s="660"/>
      <c r="U72" s="532">
        <f t="shared" si="99"/>
        <v>0</v>
      </c>
      <c r="V72" s="522" t="s">
        <v>76</v>
      </c>
      <c r="W72" s="533">
        <f t="shared" si="100"/>
        <v>0</v>
      </c>
      <c r="X72" s="522" t="s">
        <v>77</v>
      </c>
      <c r="Y72" s="533">
        <f t="shared" si="101"/>
        <v>0</v>
      </c>
      <c r="Z72" s="522" t="s">
        <v>78</v>
      </c>
      <c r="AA72" s="533">
        <f t="shared" si="102"/>
        <v>0</v>
      </c>
      <c r="AB72" s="522" t="s">
        <v>79</v>
      </c>
      <c r="AC72" s="534">
        <f t="shared" si="103"/>
        <v>0</v>
      </c>
      <c r="AD72" s="535"/>
      <c r="AE72" s="536">
        <f t="shared" si="104"/>
        <v>0</v>
      </c>
      <c r="AF72" s="533">
        <f t="shared" si="105"/>
        <v>0</v>
      </c>
      <c r="AG72" s="533">
        <f t="shared" si="106"/>
        <v>0</v>
      </c>
      <c r="AH72" s="533">
        <f t="shared" si="107"/>
        <v>0</v>
      </c>
      <c r="AI72" s="534">
        <f t="shared" si="108"/>
        <v>0</v>
      </c>
      <c r="AK72" s="537">
        <f t="shared" si="116"/>
        <v>0</v>
      </c>
      <c r="AL72" s="538">
        <f t="shared" si="116"/>
        <v>0</v>
      </c>
      <c r="AM72" s="538">
        <f t="shared" si="116"/>
        <v>0</v>
      </c>
      <c r="AN72" s="538">
        <f t="shared" si="116"/>
        <v>0</v>
      </c>
      <c r="AO72" s="539">
        <f t="shared" si="110"/>
        <v>0</v>
      </c>
      <c r="AR72" s="659"/>
    </row>
    <row r="73" spans="2:44" s="447" customFormat="1" ht="14.25" customHeight="1">
      <c r="B73" s="572"/>
      <c r="C73" s="595"/>
      <c r="D73" s="596"/>
      <c r="E73" s="595"/>
      <c r="F73" s="596">
        <f t="shared" ref="F73" si="120">E73*D73</f>
        <v>0</v>
      </c>
      <c r="G73" s="725"/>
      <c r="H73" s="726">
        <f>H71*H61</f>
        <v>0</v>
      </c>
      <c r="I73" s="725"/>
      <c r="J73" s="727">
        <f t="shared" ref="J73" si="121">D73*I73*($J$7)^2</f>
        <v>0</v>
      </c>
      <c r="K73" s="725"/>
      <c r="L73" s="727">
        <f t="shared" ref="L73" si="122">D73*K73*($L$7)^3</f>
        <v>0</v>
      </c>
      <c r="M73" s="727"/>
      <c r="N73" s="727"/>
      <c r="O73" s="728"/>
      <c r="P73" s="727">
        <f t="shared" ref="P73" si="123">L73+J73+H73+F73</f>
        <v>0</v>
      </c>
      <c r="Q73" s="530" t="b">
        <f t="shared" ref="Q73" si="124">((D73*E73*$F$7)+(G73*D73*$H$7)+(D73*I73*$J$7^2)+(D73*K73*$L$7^3))=P73</f>
        <v>1</v>
      </c>
      <c r="R73" s="493"/>
      <c r="U73" s="532">
        <f>F73</f>
        <v>0</v>
      </c>
      <c r="V73" s="522" t="s">
        <v>76</v>
      </c>
      <c r="W73" s="533">
        <f>H73</f>
        <v>0</v>
      </c>
      <c r="X73" s="522" t="s">
        <v>77</v>
      </c>
      <c r="Y73" s="533">
        <f>J73</f>
        <v>0</v>
      </c>
      <c r="Z73" s="522" t="s">
        <v>78</v>
      </c>
      <c r="AA73" s="533">
        <f>L73</f>
        <v>0</v>
      </c>
      <c r="AB73" s="522" t="s">
        <v>79</v>
      </c>
      <c r="AC73" s="534">
        <f>SUM(U73:AA73)</f>
        <v>0</v>
      </c>
      <c r="AD73" s="535"/>
      <c r="AE73" s="536">
        <f>U73/$AG$6</f>
        <v>0</v>
      </c>
      <c r="AF73" s="533">
        <f>W73/$AG$6</f>
        <v>0</v>
      </c>
      <c r="AG73" s="533">
        <f>Y73/$AG$6</f>
        <v>0</v>
      </c>
      <c r="AH73" s="533">
        <f>AA73/$AG$6</f>
        <v>0</v>
      </c>
      <c r="AI73" s="534">
        <f>SUM(AE73:AH73)</f>
        <v>0</v>
      </c>
      <c r="AK73" s="537">
        <f t="shared" ref="AK73:AN73" si="125">AE73*$AM$6</f>
        <v>0</v>
      </c>
      <c r="AL73" s="538">
        <f t="shared" si="125"/>
        <v>0</v>
      </c>
      <c r="AM73" s="538">
        <f t="shared" si="125"/>
        <v>0</v>
      </c>
      <c r="AN73" s="538">
        <f t="shared" si="125"/>
        <v>0</v>
      </c>
      <c r="AO73" s="539">
        <f>SUM(AK73:AN73)</f>
        <v>0</v>
      </c>
    </row>
    <row r="74" spans="2:44" s="447" customFormat="1" ht="78" customHeight="1">
      <c r="B74" s="661" t="s">
        <v>503</v>
      </c>
      <c r="C74" s="647"/>
      <c r="D74" s="647">
        <f t="shared" ref="D74:K74" si="126">SUBTOTAL(9,D75:D80)</f>
        <v>0</v>
      </c>
      <c r="E74" s="647">
        <f t="shared" si="126"/>
        <v>0</v>
      </c>
      <c r="F74" s="647">
        <f t="shared" si="126"/>
        <v>0</v>
      </c>
      <c r="G74" s="647">
        <f t="shared" si="126"/>
        <v>0</v>
      </c>
      <c r="H74" s="647">
        <f t="shared" si="126"/>
        <v>0</v>
      </c>
      <c r="I74" s="647">
        <f t="shared" si="126"/>
        <v>0</v>
      </c>
      <c r="J74" s="647">
        <f t="shared" si="126"/>
        <v>0</v>
      </c>
      <c r="K74" s="647">
        <f t="shared" si="126"/>
        <v>0</v>
      </c>
      <c r="L74" s="647">
        <f>SUBTOTAL(9,L75:L79)</f>
        <v>0</v>
      </c>
      <c r="M74" s="647">
        <f>SUBTOTAL(9,M75:M80)</f>
        <v>0</v>
      </c>
      <c r="N74" s="647">
        <f>SUBTOTAL(9,N75:N80)</f>
        <v>0</v>
      </c>
      <c r="O74" s="647">
        <f>SUBTOTAL(9,O75:O80)</f>
        <v>0</v>
      </c>
      <c r="P74" s="647">
        <f>SUBTOTAL(9,P75:P80)</f>
        <v>0</v>
      </c>
      <c r="Q74" s="530"/>
      <c r="R74" s="493"/>
      <c r="U74" s="532"/>
      <c r="V74" s="522"/>
      <c r="W74" s="533"/>
      <c r="X74" s="522"/>
      <c r="Y74" s="533"/>
      <c r="Z74" s="522"/>
      <c r="AA74" s="533"/>
      <c r="AB74" s="522"/>
      <c r="AC74" s="534"/>
      <c r="AD74" s="535"/>
      <c r="AE74" s="536"/>
      <c r="AF74" s="533"/>
      <c r="AG74" s="533"/>
      <c r="AH74" s="533"/>
      <c r="AI74" s="534"/>
      <c r="AK74" s="537"/>
      <c r="AL74" s="538"/>
      <c r="AM74" s="538"/>
      <c r="AN74" s="538"/>
      <c r="AO74" s="539"/>
      <c r="AR74" s="659"/>
    </row>
    <row r="75" spans="2:44" s="447" customFormat="1" ht="20">
      <c r="B75" s="650"/>
      <c r="C75" s="595" t="s">
        <v>423</v>
      </c>
      <c r="D75" s="596"/>
      <c r="E75" s="595"/>
      <c r="F75" s="596">
        <f>E75*D75</f>
        <v>0</v>
      </c>
      <c r="G75" s="595"/>
      <c r="H75" s="596">
        <f>G75*D75</f>
        <v>0</v>
      </c>
      <c r="I75" s="595"/>
      <c r="J75" s="596">
        <f>D75*I75</f>
        <v>0</v>
      </c>
      <c r="K75" s="595"/>
      <c r="L75" s="596">
        <f>D75*K75</f>
        <v>0</v>
      </c>
      <c r="M75" s="595"/>
      <c r="N75" s="596">
        <f>D75*M75</f>
        <v>0</v>
      </c>
      <c r="O75" s="593">
        <f>+E75+G75+I75+K75</f>
        <v>0</v>
      </c>
      <c r="P75" s="596">
        <f>L75+J75+H75+F75+N75</f>
        <v>0</v>
      </c>
      <c r="Q75" s="530" t="b">
        <f t="shared" ref="Q75:Q80" si="127">((D75*E75*$F$7)+(G75*D75*$H$7)+(D75*I75*$J$7^2)+(D75*K75*$L$7^3))=P75</f>
        <v>1</v>
      </c>
      <c r="R75" s="493"/>
      <c r="U75" s="532">
        <f>F75</f>
        <v>0</v>
      </c>
      <c r="V75" s="522" t="s">
        <v>76</v>
      </c>
      <c r="W75" s="533">
        <f>H75</f>
        <v>0</v>
      </c>
      <c r="X75" s="522" t="s">
        <v>77</v>
      </c>
      <c r="Y75" s="533">
        <f>J75</f>
        <v>0</v>
      </c>
      <c r="Z75" s="522" t="s">
        <v>78</v>
      </c>
      <c r="AA75" s="533">
        <f>L75</f>
        <v>0</v>
      </c>
      <c r="AB75" s="522" t="s">
        <v>79</v>
      </c>
      <c r="AC75" s="534">
        <f t="shared" ref="AC75:AC82" si="128">SUM(U75:AA75)</f>
        <v>0</v>
      </c>
      <c r="AD75" s="535"/>
      <c r="AE75" s="536">
        <f t="shared" ref="AE75:AE82" si="129">U75/$AG$6</f>
        <v>0</v>
      </c>
      <c r="AF75" s="533">
        <f t="shared" ref="AF75:AF82" si="130">W75/$AG$6</f>
        <v>0</v>
      </c>
      <c r="AG75" s="533">
        <f t="shared" ref="AG75:AG82" si="131">Y75/$AG$6</f>
        <v>0</v>
      </c>
      <c r="AH75" s="533">
        <f t="shared" ref="AH75:AH82" si="132">AA75/$AG$6</f>
        <v>0</v>
      </c>
      <c r="AI75" s="534">
        <f t="shared" ref="AI75:AI82" si="133">SUM(AE75:AH75)</f>
        <v>0</v>
      </c>
      <c r="AK75" s="537">
        <f t="shared" ref="AK75:AN76" si="134">AE75*$AM$6</f>
        <v>0</v>
      </c>
      <c r="AL75" s="538">
        <f t="shared" si="134"/>
        <v>0</v>
      </c>
      <c r="AM75" s="538">
        <f t="shared" si="134"/>
        <v>0</v>
      </c>
      <c r="AN75" s="538">
        <f t="shared" si="134"/>
        <v>0</v>
      </c>
      <c r="AO75" s="539">
        <f t="shared" ref="AO75:AO82" si="135">SUM(AK75:AN75)</f>
        <v>0</v>
      </c>
      <c r="AR75" s="653"/>
    </row>
    <row r="76" spans="2:44" s="447" customFormat="1" ht="28" customHeight="1">
      <c r="B76" s="650"/>
      <c r="C76" s="595" t="s">
        <v>433</v>
      </c>
      <c r="D76" s="596"/>
      <c r="E76" s="595"/>
      <c r="F76" s="596">
        <f t="shared" ref="F76:F86" si="136">E76*D76</f>
        <v>0</v>
      </c>
      <c r="G76" s="595"/>
      <c r="H76" s="596">
        <f t="shared" ref="H76:H77" si="137">G76*D76</f>
        <v>0</v>
      </c>
      <c r="I76" s="595"/>
      <c r="J76" s="596">
        <f t="shared" ref="J76:J79" si="138">D76*I76</f>
        <v>0</v>
      </c>
      <c r="K76" s="595"/>
      <c r="L76" s="596">
        <f t="shared" ref="L76:L79" si="139">D76*K76</f>
        <v>0</v>
      </c>
      <c r="M76" s="595"/>
      <c r="N76" s="596">
        <f>D76*M76</f>
        <v>0</v>
      </c>
      <c r="O76" s="593">
        <f t="shared" ref="O76:O78" si="140">+E76+G76+I76+K76</f>
        <v>0</v>
      </c>
      <c r="P76" s="596">
        <f t="shared" ref="P76:P79" si="141">L76+J76+H76+F76+N76</f>
        <v>0</v>
      </c>
      <c r="Q76" s="530" t="b">
        <f t="shared" si="127"/>
        <v>1</v>
      </c>
      <c r="R76" s="493"/>
      <c r="U76" s="532">
        <f>F76</f>
        <v>0</v>
      </c>
      <c r="V76" s="522" t="s">
        <v>76</v>
      </c>
      <c r="W76" s="533">
        <f>H76</f>
        <v>0</v>
      </c>
      <c r="X76" s="522" t="s">
        <v>77</v>
      </c>
      <c r="Y76" s="533">
        <f>J76</f>
        <v>0</v>
      </c>
      <c r="Z76" s="522" t="s">
        <v>78</v>
      </c>
      <c r="AA76" s="533">
        <f>L76</f>
        <v>0</v>
      </c>
      <c r="AB76" s="522" t="s">
        <v>79</v>
      </c>
      <c r="AC76" s="534">
        <f t="shared" si="128"/>
        <v>0</v>
      </c>
      <c r="AD76" s="535"/>
      <c r="AE76" s="536">
        <f t="shared" si="129"/>
        <v>0</v>
      </c>
      <c r="AF76" s="533">
        <f t="shared" si="130"/>
        <v>0</v>
      </c>
      <c r="AG76" s="533">
        <f t="shared" si="131"/>
        <v>0</v>
      </c>
      <c r="AH76" s="533">
        <f t="shared" si="132"/>
        <v>0</v>
      </c>
      <c r="AI76" s="534">
        <f t="shared" si="133"/>
        <v>0</v>
      </c>
      <c r="AK76" s="537">
        <f t="shared" si="134"/>
        <v>0</v>
      </c>
      <c r="AL76" s="538">
        <f t="shared" si="134"/>
        <v>0</v>
      </c>
      <c r="AM76" s="538">
        <f t="shared" si="134"/>
        <v>0</v>
      </c>
      <c r="AN76" s="538">
        <f t="shared" si="134"/>
        <v>0</v>
      </c>
      <c r="AO76" s="539">
        <f t="shared" si="135"/>
        <v>0</v>
      </c>
    </row>
    <row r="77" spans="2:44" s="447" customFormat="1" ht="29.15" customHeight="1">
      <c r="B77" s="650"/>
      <c r="C77" s="595" t="s">
        <v>423</v>
      </c>
      <c r="D77" s="596"/>
      <c r="E77" s="595"/>
      <c r="F77" s="596">
        <f t="shared" si="136"/>
        <v>0</v>
      </c>
      <c r="G77" s="595"/>
      <c r="H77" s="596">
        <f t="shared" si="137"/>
        <v>0</v>
      </c>
      <c r="I77" s="595"/>
      <c r="J77" s="596">
        <f t="shared" si="138"/>
        <v>0</v>
      </c>
      <c r="K77" s="595"/>
      <c r="L77" s="596">
        <f>(D77*K77)</f>
        <v>0</v>
      </c>
      <c r="M77" s="596"/>
      <c r="N77" s="596">
        <f>D77*M77</f>
        <v>0</v>
      </c>
      <c r="O77" s="593">
        <f t="shared" si="140"/>
        <v>0</v>
      </c>
      <c r="P77" s="596">
        <f t="shared" si="141"/>
        <v>0</v>
      </c>
      <c r="Q77" s="530" t="b">
        <f t="shared" si="127"/>
        <v>1</v>
      </c>
      <c r="R77" s="493"/>
      <c r="U77" s="532"/>
      <c r="V77" s="522"/>
      <c r="W77" s="533"/>
      <c r="X77" s="522"/>
      <c r="Y77" s="533"/>
      <c r="Z77" s="522"/>
      <c r="AA77" s="533"/>
      <c r="AB77" s="522"/>
      <c r="AC77" s="534"/>
      <c r="AD77" s="535"/>
      <c r="AE77" s="536"/>
      <c r="AF77" s="533"/>
      <c r="AG77" s="533"/>
      <c r="AH77" s="533"/>
      <c r="AI77" s="534"/>
      <c r="AK77" s="537"/>
      <c r="AL77" s="538"/>
      <c r="AM77" s="538"/>
      <c r="AN77" s="538"/>
      <c r="AO77" s="539"/>
    </row>
    <row r="78" spans="2:44" s="447" customFormat="1" ht="28.5" customHeight="1">
      <c r="B78" s="650"/>
      <c r="C78" s="595" t="s">
        <v>433</v>
      </c>
      <c r="D78" s="596"/>
      <c r="E78" s="595"/>
      <c r="F78" s="596">
        <f t="shared" si="136"/>
        <v>0</v>
      </c>
      <c r="G78" s="595"/>
      <c r="H78" s="596">
        <f>D78*G78</f>
        <v>0</v>
      </c>
      <c r="I78" s="595"/>
      <c r="J78" s="596">
        <f t="shared" si="138"/>
        <v>0</v>
      </c>
      <c r="K78" s="595"/>
      <c r="L78" s="596">
        <f t="shared" si="139"/>
        <v>0</v>
      </c>
      <c r="M78" s="596"/>
      <c r="N78" s="596">
        <f>D78*M78</f>
        <v>0</v>
      </c>
      <c r="O78" s="593">
        <f t="shared" si="140"/>
        <v>0</v>
      </c>
      <c r="P78" s="596">
        <f t="shared" si="141"/>
        <v>0</v>
      </c>
      <c r="Q78" s="530" t="b">
        <f t="shared" si="127"/>
        <v>1</v>
      </c>
      <c r="R78" s="493"/>
      <c r="U78" s="532"/>
      <c r="V78" s="522"/>
      <c r="W78" s="533"/>
      <c r="X78" s="522"/>
      <c r="Y78" s="533"/>
      <c r="Z78" s="522"/>
      <c r="AA78" s="533"/>
      <c r="AB78" s="522"/>
      <c r="AC78" s="534"/>
      <c r="AD78" s="535"/>
      <c r="AE78" s="536"/>
      <c r="AF78" s="533"/>
      <c r="AG78" s="533"/>
      <c r="AH78" s="533"/>
      <c r="AI78" s="534"/>
      <c r="AK78" s="537"/>
      <c r="AL78" s="538"/>
      <c r="AM78" s="538"/>
      <c r="AN78" s="538"/>
      <c r="AO78" s="539"/>
    </row>
    <row r="79" spans="2:44" s="447" customFormat="1" ht="45" customHeight="1">
      <c r="B79" s="662"/>
      <c r="C79" s="595" t="s">
        <v>424</v>
      </c>
      <c r="D79" s="596"/>
      <c r="E79" s="595"/>
      <c r="F79" s="596">
        <f>E79*D79*50%</f>
        <v>0</v>
      </c>
      <c r="G79" s="595"/>
      <c r="H79" s="596">
        <f>D79*G79</f>
        <v>0</v>
      </c>
      <c r="I79" s="595"/>
      <c r="J79" s="596">
        <f t="shared" si="138"/>
        <v>0</v>
      </c>
      <c r="K79" s="595"/>
      <c r="L79" s="596">
        <f t="shared" si="139"/>
        <v>0</v>
      </c>
      <c r="M79" s="596"/>
      <c r="N79" s="596">
        <f>D79*M79*50%</f>
        <v>0</v>
      </c>
      <c r="O79" s="722">
        <f>+E79+G79+I79+K79+M79</f>
        <v>0</v>
      </c>
      <c r="P79" s="596">
        <f t="shared" si="141"/>
        <v>0</v>
      </c>
      <c r="Q79" s="530" t="b">
        <f t="shared" si="127"/>
        <v>1</v>
      </c>
      <c r="R79" s="660"/>
      <c r="U79" s="532"/>
      <c r="V79" s="522"/>
      <c r="W79" s="533"/>
      <c r="X79" s="522"/>
      <c r="Y79" s="533"/>
      <c r="Z79" s="522"/>
      <c r="AA79" s="533"/>
      <c r="AB79" s="522"/>
      <c r="AC79" s="534"/>
      <c r="AD79" s="535"/>
      <c r="AE79" s="536"/>
      <c r="AF79" s="533"/>
      <c r="AG79" s="533"/>
      <c r="AH79" s="533"/>
      <c r="AI79" s="534"/>
      <c r="AK79" s="537"/>
      <c r="AL79" s="538"/>
      <c r="AM79" s="538"/>
      <c r="AN79" s="538"/>
      <c r="AO79" s="539"/>
      <c r="AR79" s="653"/>
    </row>
    <row r="80" spans="2:44" s="447" customFormat="1" ht="20">
      <c r="B80" s="663"/>
      <c r="C80" s="595"/>
      <c r="D80" s="596"/>
      <c r="E80" s="595"/>
      <c r="F80" s="596">
        <f t="shared" si="136"/>
        <v>0</v>
      </c>
      <c r="G80" s="595"/>
      <c r="H80" s="596">
        <f t="shared" ref="H80" si="142">G80*D80*($H$7)^1</f>
        <v>0</v>
      </c>
      <c r="I80" s="595"/>
      <c r="J80" s="596">
        <f t="shared" ref="J80:J85" si="143">D80*I80*($J$7)^2</f>
        <v>0</v>
      </c>
      <c r="K80" s="595"/>
      <c r="L80" s="596">
        <f t="shared" ref="L80" si="144">D80*K80*($L$7)^3</f>
        <v>0</v>
      </c>
      <c r="M80" s="596"/>
      <c r="N80" s="596"/>
      <c r="O80" s="593"/>
      <c r="P80" s="596">
        <f t="shared" ref="P80" si="145">L80+J80+H80+F80</f>
        <v>0</v>
      </c>
      <c r="Q80" s="664" t="b">
        <f t="shared" si="127"/>
        <v>1</v>
      </c>
      <c r="R80" s="665"/>
      <c r="U80" s="532"/>
      <c r="V80" s="522"/>
      <c r="W80" s="533"/>
      <c r="X80" s="522"/>
      <c r="Y80" s="533"/>
      <c r="Z80" s="522"/>
      <c r="AA80" s="533"/>
      <c r="AB80" s="522"/>
      <c r="AC80" s="534"/>
      <c r="AD80" s="535"/>
      <c r="AE80" s="536"/>
      <c r="AF80" s="533"/>
      <c r="AG80" s="533"/>
      <c r="AH80" s="533"/>
      <c r="AI80" s="534"/>
      <c r="AK80" s="537"/>
      <c r="AL80" s="538"/>
      <c r="AM80" s="538"/>
      <c r="AN80" s="538"/>
      <c r="AO80" s="539"/>
      <c r="AR80" s="653"/>
    </row>
    <row r="81" spans="2:44" s="447" customFormat="1" ht="57" customHeight="1">
      <c r="B81" s="666" t="s">
        <v>507</v>
      </c>
      <c r="C81" s="647"/>
      <c r="D81" s="647">
        <f>SUBTOTAL(9,D82:D87)</f>
        <v>0</v>
      </c>
      <c r="E81" s="647">
        <f t="shared" ref="E81:O81" si="146">SUBTOTAL(9,E82:E87)</f>
        <v>0</v>
      </c>
      <c r="F81" s="647">
        <f t="shared" si="146"/>
        <v>0</v>
      </c>
      <c r="G81" s="647">
        <f t="shared" si="146"/>
        <v>0</v>
      </c>
      <c r="H81" s="647">
        <f t="shared" si="146"/>
        <v>0</v>
      </c>
      <c r="I81" s="647">
        <f t="shared" si="146"/>
        <v>0</v>
      </c>
      <c r="J81" s="647">
        <f t="shared" si="146"/>
        <v>0</v>
      </c>
      <c r="K81" s="647">
        <f t="shared" si="146"/>
        <v>0</v>
      </c>
      <c r="L81" s="647">
        <f t="shared" si="146"/>
        <v>0</v>
      </c>
      <c r="M81" s="647">
        <f t="shared" si="146"/>
        <v>0</v>
      </c>
      <c r="N81" s="647">
        <f>SUBTOTAL(9,N82:N87)</f>
        <v>0</v>
      </c>
      <c r="O81" s="647">
        <f t="shared" si="146"/>
        <v>0</v>
      </c>
      <c r="P81" s="647">
        <f>SUBTOTAL(9,P82:P87)</f>
        <v>0</v>
      </c>
      <c r="Q81" s="667"/>
      <c r="R81" s="668"/>
      <c r="U81" s="532"/>
      <c r="V81" s="522"/>
      <c r="W81" s="533"/>
      <c r="X81" s="522"/>
      <c r="Y81" s="533"/>
      <c r="Z81" s="522"/>
      <c r="AA81" s="533"/>
      <c r="AB81" s="522"/>
      <c r="AC81" s="534"/>
      <c r="AD81" s="535"/>
      <c r="AE81" s="536"/>
      <c r="AF81" s="533"/>
      <c r="AG81" s="533"/>
      <c r="AH81" s="533"/>
      <c r="AI81" s="534"/>
      <c r="AK81" s="537"/>
      <c r="AL81" s="538"/>
      <c r="AM81" s="538"/>
      <c r="AN81" s="538"/>
      <c r="AO81" s="539"/>
    </row>
    <row r="82" spans="2:44" s="447" customFormat="1" ht="20">
      <c r="B82" s="650"/>
      <c r="C82" s="595" t="s">
        <v>434</v>
      </c>
      <c r="D82" s="596"/>
      <c r="E82" s="595"/>
      <c r="F82" s="596">
        <f t="shared" si="136"/>
        <v>0</v>
      </c>
      <c r="G82" s="595"/>
      <c r="H82" s="596">
        <f>G82*D82</f>
        <v>0</v>
      </c>
      <c r="I82" s="595"/>
      <c r="J82" s="596">
        <f>D82*I82</f>
        <v>0</v>
      </c>
      <c r="K82" s="595"/>
      <c r="L82" s="596"/>
      <c r="M82" s="595"/>
      <c r="N82" s="596">
        <f>D82*M82</f>
        <v>0</v>
      </c>
      <c r="O82" s="593">
        <f t="shared" ref="O82:O86" si="147">+E82+G82+I82+K82</f>
        <v>0</v>
      </c>
      <c r="P82" s="596">
        <f>L82+J82+H82+F82+N82</f>
        <v>0</v>
      </c>
      <c r="Q82" s="596">
        <f>O82+K82+I82+G82</f>
        <v>0</v>
      </c>
      <c r="R82" s="665"/>
      <c r="U82" s="532">
        <f>F82</f>
        <v>0</v>
      </c>
      <c r="V82" s="522" t="s">
        <v>76</v>
      </c>
      <c r="W82" s="533">
        <f>H82</f>
        <v>0</v>
      </c>
      <c r="X82" s="522" t="s">
        <v>77</v>
      </c>
      <c r="Y82" s="533">
        <f>J82</f>
        <v>0</v>
      </c>
      <c r="Z82" s="522" t="s">
        <v>78</v>
      </c>
      <c r="AA82" s="533">
        <f>L82</f>
        <v>0</v>
      </c>
      <c r="AB82" s="522" t="s">
        <v>79</v>
      </c>
      <c r="AC82" s="534">
        <f t="shared" si="128"/>
        <v>0</v>
      </c>
      <c r="AD82" s="535"/>
      <c r="AE82" s="536">
        <f t="shared" si="129"/>
        <v>0</v>
      </c>
      <c r="AF82" s="533">
        <f t="shared" si="130"/>
        <v>0</v>
      </c>
      <c r="AG82" s="533">
        <f t="shared" si="131"/>
        <v>0</v>
      </c>
      <c r="AH82" s="533">
        <f t="shared" si="132"/>
        <v>0</v>
      </c>
      <c r="AI82" s="534">
        <f t="shared" si="133"/>
        <v>0</v>
      </c>
      <c r="AK82" s="537">
        <f t="shared" ref="AK82:AN82" si="148">AE82*$AM$6</f>
        <v>0</v>
      </c>
      <c r="AL82" s="538">
        <f t="shared" si="148"/>
        <v>0</v>
      </c>
      <c r="AM82" s="538">
        <f t="shared" si="148"/>
        <v>0</v>
      </c>
      <c r="AN82" s="538">
        <f t="shared" si="148"/>
        <v>0</v>
      </c>
      <c r="AO82" s="539">
        <f t="shared" si="135"/>
        <v>0</v>
      </c>
      <c r="AR82" s="535"/>
    </row>
    <row r="83" spans="2:44" s="447" customFormat="1" ht="20">
      <c r="B83" s="650"/>
      <c r="C83" s="669" t="s">
        <v>423</v>
      </c>
      <c r="D83" s="596"/>
      <c r="E83" s="669"/>
      <c r="F83" s="596">
        <f t="shared" si="136"/>
        <v>0</v>
      </c>
      <c r="G83" s="595"/>
      <c r="H83" s="596">
        <f>G83*D83</f>
        <v>0</v>
      </c>
      <c r="I83" s="595"/>
      <c r="J83" s="596">
        <f t="shared" si="143"/>
        <v>0</v>
      </c>
      <c r="K83" s="595"/>
      <c r="L83" s="596"/>
      <c r="M83" s="596"/>
      <c r="N83" s="596"/>
      <c r="O83" s="593">
        <f t="shared" si="147"/>
        <v>0</v>
      </c>
      <c r="P83" s="596">
        <f t="shared" ref="P83:P87" si="149">L83+J83+H83+F83+N83</f>
        <v>0</v>
      </c>
      <c r="Q83" s="530"/>
      <c r="R83" s="670"/>
      <c r="U83" s="532"/>
      <c r="V83" s="522"/>
      <c r="W83" s="533"/>
      <c r="X83" s="522"/>
      <c r="Y83" s="533"/>
      <c r="Z83" s="522"/>
      <c r="AA83" s="533"/>
      <c r="AB83" s="522"/>
      <c r="AC83" s="534"/>
      <c r="AD83" s="535"/>
      <c r="AE83" s="536"/>
      <c r="AF83" s="533"/>
      <c r="AG83" s="533"/>
      <c r="AH83" s="533"/>
      <c r="AI83" s="534"/>
      <c r="AK83" s="537"/>
      <c r="AL83" s="538"/>
      <c r="AM83" s="538"/>
      <c r="AN83" s="538"/>
      <c r="AO83" s="539"/>
      <c r="AR83" s="535"/>
    </row>
    <row r="84" spans="2:44" s="447" customFormat="1" ht="20">
      <c r="B84" s="650"/>
      <c r="C84" s="669" t="s">
        <v>435</v>
      </c>
      <c r="D84" s="596"/>
      <c r="E84" s="669"/>
      <c r="F84" s="596">
        <f t="shared" si="136"/>
        <v>0</v>
      </c>
      <c r="G84" s="595"/>
      <c r="H84" s="596">
        <f t="shared" ref="H84:H86" si="150">G84*D84</f>
        <v>0</v>
      </c>
      <c r="I84" s="595"/>
      <c r="J84" s="596">
        <f>D84*I84</f>
        <v>0</v>
      </c>
      <c r="K84" s="595"/>
      <c r="L84" s="596"/>
      <c r="M84" s="596"/>
      <c r="N84" s="596"/>
      <c r="O84" s="593">
        <f t="shared" si="147"/>
        <v>0</v>
      </c>
      <c r="P84" s="596">
        <f t="shared" si="149"/>
        <v>0</v>
      </c>
      <c r="Q84" s="530"/>
      <c r="R84" s="671"/>
      <c r="U84" s="532"/>
      <c r="V84" s="522"/>
      <c r="W84" s="533"/>
      <c r="X84" s="522"/>
      <c r="Y84" s="533"/>
      <c r="Z84" s="522"/>
      <c r="AA84" s="533"/>
      <c r="AB84" s="522"/>
      <c r="AC84" s="534"/>
      <c r="AD84" s="535"/>
      <c r="AE84" s="536"/>
      <c r="AF84" s="533"/>
      <c r="AG84" s="533"/>
      <c r="AH84" s="533"/>
      <c r="AI84" s="534"/>
      <c r="AK84" s="537"/>
      <c r="AL84" s="538"/>
      <c r="AM84" s="538"/>
      <c r="AN84" s="538"/>
      <c r="AO84" s="539"/>
      <c r="AR84" s="535"/>
    </row>
    <row r="85" spans="2:44" s="447" customFormat="1" ht="25.5" customHeight="1">
      <c r="B85" s="650"/>
      <c r="C85" s="669" t="s">
        <v>433</v>
      </c>
      <c r="D85" s="596"/>
      <c r="E85" s="669"/>
      <c r="F85" s="596">
        <f t="shared" si="136"/>
        <v>0</v>
      </c>
      <c r="G85" s="595"/>
      <c r="H85" s="596">
        <f t="shared" si="150"/>
        <v>0</v>
      </c>
      <c r="I85" s="595"/>
      <c r="J85" s="596">
        <f t="shared" si="143"/>
        <v>0</v>
      </c>
      <c r="K85" s="595"/>
      <c r="L85" s="596"/>
      <c r="M85" s="596"/>
      <c r="N85" s="596">
        <f>D85*M85</f>
        <v>0</v>
      </c>
      <c r="O85" s="593">
        <f t="shared" si="147"/>
        <v>0</v>
      </c>
      <c r="P85" s="596">
        <f t="shared" si="149"/>
        <v>0</v>
      </c>
      <c r="Q85" s="530"/>
      <c r="R85" s="672"/>
      <c r="U85" s="532"/>
      <c r="V85" s="522"/>
      <c r="W85" s="533"/>
      <c r="X85" s="522"/>
      <c r="Y85" s="533"/>
      <c r="Z85" s="522"/>
      <c r="AA85" s="533"/>
      <c r="AB85" s="522"/>
      <c r="AC85" s="534"/>
      <c r="AD85" s="535"/>
      <c r="AE85" s="536"/>
      <c r="AF85" s="533"/>
      <c r="AG85" s="533"/>
      <c r="AH85" s="533"/>
      <c r="AI85" s="534"/>
      <c r="AK85" s="537"/>
      <c r="AL85" s="538"/>
      <c r="AM85" s="538"/>
      <c r="AN85" s="538"/>
      <c r="AO85" s="539"/>
      <c r="AR85" s="535"/>
    </row>
    <row r="86" spans="2:44" s="447" customFormat="1" ht="28" customHeight="1">
      <c r="B86" s="650"/>
      <c r="C86" s="669" t="s">
        <v>423</v>
      </c>
      <c r="D86" s="596"/>
      <c r="E86" s="669"/>
      <c r="F86" s="673">
        <f t="shared" si="136"/>
        <v>0</v>
      </c>
      <c r="G86" s="595"/>
      <c r="H86" s="596">
        <f t="shared" si="150"/>
        <v>0</v>
      </c>
      <c r="I86" s="595"/>
      <c r="J86" s="596">
        <f>D86*I86</f>
        <v>0</v>
      </c>
      <c r="K86" s="595"/>
      <c r="L86" s="673"/>
      <c r="M86" s="673"/>
      <c r="N86" s="596">
        <f>D86*M86</f>
        <v>0</v>
      </c>
      <c r="O86" s="593">
        <f t="shared" si="147"/>
        <v>0</v>
      </c>
      <c r="P86" s="596">
        <f t="shared" si="149"/>
        <v>0</v>
      </c>
      <c r="Q86" s="530" t="b">
        <f t="shared" ref="Q86:Q87" si="151">((D86*E86*$F$7)+(G86*D86*$H$7)+(D86*I86*$J$7^2)+(D86*K86*$L$7^3))=P86</f>
        <v>1</v>
      </c>
      <c r="R86" s="493"/>
      <c r="U86" s="532"/>
      <c r="V86" s="522"/>
      <c r="W86" s="533"/>
      <c r="X86" s="522"/>
      <c r="Y86" s="533"/>
      <c r="Z86" s="522"/>
      <c r="AA86" s="533"/>
      <c r="AB86" s="522"/>
      <c r="AC86" s="534"/>
      <c r="AD86" s="535"/>
      <c r="AE86" s="536"/>
      <c r="AF86" s="533"/>
      <c r="AG86" s="533"/>
      <c r="AH86" s="533"/>
      <c r="AI86" s="534"/>
      <c r="AK86" s="537"/>
      <c r="AL86" s="538"/>
      <c r="AM86" s="538"/>
      <c r="AN86" s="538"/>
      <c r="AO86" s="539"/>
      <c r="AR86" s="535"/>
    </row>
    <row r="87" spans="2:44" s="447" customFormat="1" ht="20">
      <c r="B87" s="650"/>
      <c r="C87" s="595" t="s">
        <v>424</v>
      </c>
      <c r="D87" s="596"/>
      <c r="E87" s="595"/>
      <c r="F87" s="673">
        <f>E87*D87*50%</f>
        <v>0</v>
      </c>
      <c r="G87" s="595"/>
      <c r="H87" s="596">
        <f t="shared" ref="H87:H101" si="152">G87*D87</f>
        <v>0</v>
      </c>
      <c r="I87" s="595"/>
      <c r="J87" s="596">
        <f>D87*I87</f>
        <v>0</v>
      </c>
      <c r="K87" s="595"/>
      <c r="L87" s="596"/>
      <c r="M87" s="596"/>
      <c r="N87" s="596">
        <f>D87*M87*50%</f>
        <v>0</v>
      </c>
      <c r="O87" s="722">
        <f>+E87+G87+I87+K87+M87</f>
        <v>0</v>
      </c>
      <c r="P87" s="596">
        <f t="shared" si="149"/>
        <v>0</v>
      </c>
      <c r="Q87" s="530" t="b">
        <f t="shared" si="151"/>
        <v>1</v>
      </c>
      <c r="R87" s="660"/>
      <c r="U87" s="532"/>
      <c r="V87" s="522"/>
      <c r="W87" s="533"/>
      <c r="X87" s="522"/>
      <c r="Y87" s="533"/>
      <c r="Z87" s="522"/>
      <c r="AA87" s="533"/>
      <c r="AB87" s="522"/>
      <c r="AC87" s="534"/>
      <c r="AD87" s="535"/>
      <c r="AE87" s="536"/>
      <c r="AF87" s="533"/>
      <c r="AG87" s="533"/>
      <c r="AH87" s="533"/>
      <c r="AI87" s="534"/>
      <c r="AK87" s="537"/>
      <c r="AL87" s="538"/>
      <c r="AM87" s="538"/>
      <c r="AN87" s="538"/>
      <c r="AO87" s="539"/>
      <c r="AR87" s="659"/>
    </row>
    <row r="88" spans="2:44" s="447" customFormat="1" ht="51" customHeight="1">
      <c r="B88" s="674" t="s">
        <v>504</v>
      </c>
      <c r="C88" s="647"/>
      <c r="D88" s="647">
        <f t="shared" ref="D88:P88" si="153">SUBTOTAL(9,D89:D104)</f>
        <v>0</v>
      </c>
      <c r="E88" s="647">
        <f t="shared" si="153"/>
        <v>0</v>
      </c>
      <c r="F88" s="647">
        <f>SUBTOTAL(9,F89:F104)</f>
        <v>0</v>
      </c>
      <c r="G88" s="647">
        <f t="shared" si="153"/>
        <v>0</v>
      </c>
      <c r="H88" s="647">
        <f>SUBTOTAL(9,H89:H104)</f>
        <v>0</v>
      </c>
      <c r="I88" s="647">
        <f t="shared" si="153"/>
        <v>0</v>
      </c>
      <c r="J88" s="647">
        <f t="shared" si="153"/>
        <v>0</v>
      </c>
      <c r="K88" s="647">
        <f t="shared" si="153"/>
        <v>0</v>
      </c>
      <c r="L88" s="647">
        <f t="shared" si="153"/>
        <v>0</v>
      </c>
      <c r="M88" s="647">
        <f t="shared" si="153"/>
        <v>0</v>
      </c>
      <c r="N88" s="647">
        <f t="shared" si="153"/>
        <v>0</v>
      </c>
      <c r="O88" s="647">
        <f t="shared" si="153"/>
        <v>0</v>
      </c>
      <c r="P88" s="647">
        <f t="shared" si="153"/>
        <v>0</v>
      </c>
      <c r="Q88" s="577">
        <f t="shared" ref="Q88" si="154">SUM(Q99:Q100)</f>
        <v>0</v>
      </c>
      <c r="R88" s="631"/>
      <c r="U88" s="532"/>
      <c r="V88" s="522"/>
      <c r="W88" s="533"/>
      <c r="X88" s="522"/>
      <c r="Y88" s="533"/>
      <c r="Z88" s="522"/>
      <c r="AA88" s="533"/>
      <c r="AB88" s="522"/>
      <c r="AC88" s="534"/>
      <c r="AD88" s="535"/>
      <c r="AE88" s="536"/>
      <c r="AF88" s="533"/>
      <c r="AG88" s="533"/>
      <c r="AH88" s="533"/>
      <c r="AI88" s="534"/>
      <c r="AK88" s="537"/>
      <c r="AL88" s="538"/>
      <c r="AM88" s="538"/>
      <c r="AN88" s="538"/>
      <c r="AO88" s="539"/>
      <c r="AR88" s="659"/>
    </row>
    <row r="89" spans="2:44" s="447" customFormat="1" ht="32.15" customHeight="1">
      <c r="B89" s="650" t="s">
        <v>436</v>
      </c>
      <c r="C89" s="669" t="s">
        <v>437</v>
      </c>
      <c r="D89" s="596"/>
      <c r="E89" s="596">
        <v>0</v>
      </c>
      <c r="F89" s="596">
        <f t="shared" ref="F89:F101" si="155">(E89*D89)</f>
        <v>0</v>
      </c>
      <c r="G89" s="577"/>
      <c r="H89" s="596">
        <f t="shared" si="152"/>
        <v>0</v>
      </c>
      <c r="I89" s="577"/>
      <c r="J89" s="596">
        <f t="shared" ref="J89:J101" si="156">D89*I89</f>
        <v>0</v>
      </c>
      <c r="K89" s="577"/>
      <c r="L89" s="596">
        <f>D89*K89</f>
        <v>0</v>
      </c>
      <c r="M89" s="596"/>
      <c r="N89" s="596">
        <f>D89*M89</f>
        <v>0</v>
      </c>
      <c r="O89" s="593">
        <f t="shared" ref="O89:O101" si="157">+E89+G89+I89+K89</f>
        <v>0</v>
      </c>
      <c r="P89" s="596">
        <f>L89+J89+H89+F89+N89</f>
        <v>0</v>
      </c>
      <c r="Q89" s="675"/>
      <c r="R89" s="493"/>
      <c r="U89" s="616"/>
      <c r="V89" s="617"/>
      <c r="W89" s="618"/>
      <c r="X89" s="617"/>
      <c r="Y89" s="618"/>
      <c r="Z89" s="617"/>
      <c r="AA89" s="618"/>
      <c r="AB89" s="617"/>
      <c r="AC89" s="619"/>
      <c r="AD89" s="535"/>
      <c r="AE89" s="620"/>
      <c r="AF89" s="618"/>
      <c r="AG89" s="618"/>
      <c r="AH89" s="618"/>
      <c r="AI89" s="619"/>
      <c r="AK89" s="621"/>
      <c r="AL89" s="622"/>
      <c r="AM89" s="622"/>
      <c r="AN89" s="622"/>
      <c r="AO89" s="623"/>
    </row>
    <row r="90" spans="2:44" s="447" customFormat="1" ht="39.65" customHeight="1">
      <c r="B90" s="650" t="s">
        <v>438</v>
      </c>
      <c r="C90" s="669" t="s">
        <v>437</v>
      </c>
      <c r="D90" s="596"/>
      <c r="E90" s="596"/>
      <c r="F90" s="596">
        <f t="shared" si="155"/>
        <v>0</v>
      </c>
      <c r="G90" s="577"/>
      <c r="H90" s="596">
        <f t="shared" si="152"/>
        <v>0</v>
      </c>
      <c r="I90" s="577"/>
      <c r="J90" s="596">
        <f t="shared" si="156"/>
        <v>0</v>
      </c>
      <c r="K90" s="577"/>
      <c r="L90" s="596">
        <f t="shared" ref="L90:L101" si="158">D90*K90</f>
        <v>0</v>
      </c>
      <c r="M90" s="596"/>
      <c r="N90" s="596"/>
      <c r="O90" s="593">
        <f t="shared" si="157"/>
        <v>0</v>
      </c>
      <c r="P90" s="596">
        <f t="shared" ref="P90:P103" si="159">L90+J90+H90+F90+N90</f>
        <v>0</v>
      </c>
      <c r="Q90" s="675"/>
      <c r="R90" s="493"/>
      <c r="U90" s="616"/>
      <c r="V90" s="617"/>
      <c r="W90" s="618"/>
      <c r="X90" s="617"/>
      <c r="Y90" s="618"/>
      <c r="Z90" s="617"/>
      <c r="AA90" s="618"/>
      <c r="AB90" s="617"/>
      <c r="AC90" s="619"/>
      <c r="AD90" s="535"/>
      <c r="AE90" s="620"/>
      <c r="AF90" s="618"/>
      <c r="AG90" s="618"/>
      <c r="AH90" s="618"/>
      <c r="AI90" s="619"/>
      <c r="AK90" s="621"/>
      <c r="AL90" s="622"/>
      <c r="AM90" s="622"/>
      <c r="AN90" s="622"/>
      <c r="AO90" s="623"/>
    </row>
    <row r="91" spans="2:44" s="447" customFormat="1" ht="20">
      <c r="B91" s="650" t="s">
        <v>490</v>
      </c>
      <c r="C91" s="673" t="s">
        <v>439</v>
      </c>
      <c r="D91" s="596"/>
      <c r="E91" s="596"/>
      <c r="F91" s="596">
        <f>(E91*D91)</f>
        <v>0</v>
      </c>
      <c r="G91" s="577"/>
      <c r="H91" s="596">
        <f t="shared" si="152"/>
        <v>0</v>
      </c>
      <c r="I91" s="577"/>
      <c r="J91" s="596">
        <f t="shared" si="156"/>
        <v>0</v>
      </c>
      <c r="K91" s="577"/>
      <c r="L91" s="596">
        <f t="shared" si="158"/>
        <v>0</v>
      </c>
      <c r="M91" s="596"/>
      <c r="N91" s="596"/>
      <c r="O91" s="593">
        <f t="shared" si="157"/>
        <v>0</v>
      </c>
      <c r="P91" s="596">
        <f t="shared" si="159"/>
        <v>0</v>
      </c>
      <c r="Q91" s="675"/>
      <c r="R91" s="493"/>
      <c r="U91" s="616"/>
      <c r="V91" s="617"/>
      <c r="W91" s="618"/>
      <c r="X91" s="617"/>
      <c r="Y91" s="618"/>
      <c r="Z91" s="617"/>
      <c r="AA91" s="618"/>
      <c r="AB91" s="617"/>
      <c r="AC91" s="619"/>
      <c r="AD91" s="535"/>
      <c r="AE91" s="620"/>
      <c r="AF91" s="618"/>
      <c r="AG91" s="618"/>
      <c r="AH91" s="618"/>
      <c r="AI91" s="619"/>
      <c r="AK91" s="621"/>
      <c r="AL91" s="622"/>
      <c r="AM91" s="622"/>
      <c r="AN91" s="622"/>
      <c r="AO91" s="623"/>
    </row>
    <row r="92" spans="2:44" s="447" customFormat="1" ht="16.5" customHeight="1">
      <c r="B92" s="650" t="s">
        <v>440</v>
      </c>
      <c r="C92" s="673" t="s">
        <v>439</v>
      </c>
      <c r="D92" s="596"/>
      <c r="E92" s="596"/>
      <c r="F92" s="596">
        <f t="shared" si="155"/>
        <v>0</v>
      </c>
      <c r="G92" s="577"/>
      <c r="H92" s="596">
        <f>G92*D92</f>
        <v>0</v>
      </c>
      <c r="I92" s="577"/>
      <c r="J92" s="596">
        <f t="shared" si="156"/>
        <v>0</v>
      </c>
      <c r="K92" s="577"/>
      <c r="L92" s="596">
        <f t="shared" si="158"/>
        <v>0</v>
      </c>
      <c r="M92" s="596"/>
      <c r="N92" s="596">
        <f>D92*M92</f>
        <v>0</v>
      </c>
      <c r="O92" s="593">
        <f t="shared" si="157"/>
        <v>0</v>
      </c>
      <c r="P92" s="596">
        <f t="shared" si="159"/>
        <v>0</v>
      </c>
      <c r="Q92" s="675"/>
      <c r="R92" s="493"/>
      <c r="U92" s="616"/>
      <c r="V92" s="617"/>
      <c r="W92" s="618"/>
      <c r="X92" s="617"/>
      <c r="Y92" s="618"/>
      <c r="Z92" s="617"/>
      <c r="AA92" s="618"/>
      <c r="AB92" s="617"/>
      <c r="AC92" s="619"/>
      <c r="AD92" s="535"/>
      <c r="AE92" s="620"/>
      <c r="AF92" s="618"/>
      <c r="AG92" s="618"/>
      <c r="AH92" s="618"/>
      <c r="AI92" s="619"/>
      <c r="AK92" s="621"/>
      <c r="AL92" s="622"/>
      <c r="AM92" s="622"/>
      <c r="AN92" s="622"/>
      <c r="AO92" s="623"/>
    </row>
    <row r="93" spans="2:44" s="447" customFormat="1" ht="27" customHeight="1">
      <c r="B93" s="650" t="s">
        <v>487</v>
      </c>
      <c r="C93" s="673" t="s">
        <v>439</v>
      </c>
      <c r="D93" s="596"/>
      <c r="E93" s="596"/>
      <c r="F93" s="596">
        <f t="shared" si="155"/>
        <v>0</v>
      </c>
      <c r="G93" s="577"/>
      <c r="H93" s="596">
        <f t="shared" si="152"/>
        <v>0</v>
      </c>
      <c r="I93" s="577"/>
      <c r="J93" s="596">
        <f t="shared" si="156"/>
        <v>0</v>
      </c>
      <c r="K93" s="729"/>
      <c r="L93" s="596">
        <f t="shared" si="158"/>
        <v>0</v>
      </c>
      <c r="M93" s="730"/>
      <c r="N93" s="596">
        <f>D93*M93</f>
        <v>0</v>
      </c>
      <c r="O93" s="593">
        <f t="shared" si="157"/>
        <v>0</v>
      </c>
      <c r="P93" s="596">
        <f t="shared" si="159"/>
        <v>0</v>
      </c>
      <c r="Q93" s="675"/>
      <c r="R93" s="493"/>
      <c r="U93" s="616"/>
      <c r="V93" s="617"/>
      <c r="W93" s="618"/>
      <c r="X93" s="617"/>
      <c r="Y93" s="618"/>
      <c r="Z93" s="617"/>
      <c r="AA93" s="618"/>
      <c r="AB93" s="617"/>
      <c r="AC93" s="619"/>
      <c r="AD93" s="535"/>
      <c r="AE93" s="620"/>
      <c r="AF93" s="618"/>
      <c r="AG93" s="618"/>
      <c r="AH93" s="618"/>
      <c r="AI93" s="619"/>
      <c r="AK93" s="621"/>
      <c r="AL93" s="622"/>
      <c r="AM93" s="622"/>
      <c r="AN93" s="622"/>
      <c r="AO93" s="623"/>
    </row>
    <row r="94" spans="2:44" s="447" customFormat="1" ht="16.5" customHeight="1">
      <c r="B94" s="650" t="s">
        <v>486</v>
      </c>
      <c r="C94" s="673" t="s">
        <v>439</v>
      </c>
      <c r="D94" s="596"/>
      <c r="E94" s="596"/>
      <c r="F94" s="596">
        <f t="shared" si="155"/>
        <v>0</v>
      </c>
      <c r="G94" s="577"/>
      <c r="H94" s="596">
        <f t="shared" si="152"/>
        <v>0</v>
      </c>
      <c r="I94" s="577"/>
      <c r="J94" s="596">
        <f t="shared" si="156"/>
        <v>0</v>
      </c>
      <c r="K94" s="577"/>
      <c r="L94" s="596">
        <f t="shared" si="158"/>
        <v>0</v>
      </c>
      <c r="M94" s="596"/>
      <c r="N94" s="596"/>
      <c r="O94" s="593">
        <f t="shared" si="157"/>
        <v>0</v>
      </c>
      <c r="P94" s="596">
        <f t="shared" si="159"/>
        <v>0</v>
      </c>
      <c r="Q94" s="675"/>
      <c r="R94" s="493"/>
      <c r="U94" s="616"/>
      <c r="V94" s="617"/>
      <c r="W94" s="618"/>
      <c r="X94" s="617"/>
      <c r="Y94" s="618"/>
      <c r="Z94" s="617"/>
      <c r="AA94" s="618"/>
      <c r="AB94" s="617"/>
      <c r="AC94" s="619"/>
      <c r="AD94" s="535"/>
      <c r="AE94" s="620"/>
      <c r="AF94" s="618"/>
      <c r="AG94" s="618"/>
      <c r="AH94" s="618"/>
      <c r="AI94" s="619"/>
      <c r="AK94" s="621"/>
      <c r="AL94" s="622"/>
      <c r="AM94" s="622"/>
      <c r="AN94" s="622"/>
      <c r="AO94" s="623"/>
    </row>
    <row r="95" spans="2:44" s="447" customFormat="1" ht="29.5">
      <c r="B95" s="650" t="s">
        <v>488</v>
      </c>
      <c r="C95" s="673" t="s">
        <v>439</v>
      </c>
      <c r="D95" s="596"/>
      <c r="E95" s="596"/>
      <c r="F95" s="596">
        <f t="shared" si="155"/>
        <v>0</v>
      </c>
      <c r="G95" s="577"/>
      <c r="H95" s="596">
        <f t="shared" si="152"/>
        <v>0</v>
      </c>
      <c r="I95" s="577"/>
      <c r="J95" s="596">
        <f t="shared" si="156"/>
        <v>0</v>
      </c>
      <c r="K95" s="577"/>
      <c r="L95" s="596">
        <f t="shared" si="158"/>
        <v>0</v>
      </c>
      <c r="M95" s="596"/>
      <c r="N95" s="596"/>
      <c r="O95" s="593">
        <f t="shared" si="157"/>
        <v>0</v>
      </c>
      <c r="P95" s="596">
        <f t="shared" si="159"/>
        <v>0</v>
      </c>
      <c r="Q95" s="675"/>
      <c r="R95" s="493"/>
      <c r="U95" s="616"/>
      <c r="V95" s="617"/>
      <c r="W95" s="618"/>
      <c r="X95" s="617"/>
      <c r="Y95" s="618"/>
      <c r="Z95" s="617"/>
      <c r="AA95" s="618"/>
      <c r="AB95" s="617"/>
      <c r="AC95" s="619"/>
      <c r="AD95" s="535"/>
      <c r="AE95" s="620"/>
      <c r="AF95" s="618"/>
      <c r="AG95" s="618"/>
      <c r="AH95" s="618"/>
      <c r="AI95" s="619"/>
      <c r="AK95" s="621"/>
      <c r="AL95" s="622"/>
      <c r="AM95" s="622"/>
      <c r="AN95" s="622"/>
      <c r="AO95" s="623"/>
    </row>
    <row r="96" spans="2:44" s="447" customFormat="1" ht="16.5" customHeight="1">
      <c r="B96" s="650" t="s">
        <v>441</v>
      </c>
      <c r="C96" s="673" t="s">
        <v>439</v>
      </c>
      <c r="D96" s="596"/>
      <c r="E96" s="596"/>
      <c r="F96" s="596">
        <f t="shared" si="155"/>
        <v>0</v>
      </c>
      <c r="G96" s="577"/>
      <c r="H96" s="596">
        <f>G96*D96</f>
        <v>0</v>
      </c>
      <c r="I96" s="577"/>
      <c r="J96" s="596">
        <f t="shared" si="156"/>
        <v>0</v>
      </c>
      <c r="K96" s="577"/>
      <c r="L96" s="596">
        <f t="shared" si="158"/>
        <v>0</v>
      </c>
      <c r="M96" s="596"/>
      <c r="N96" s="596">
        <f>D96*M96</f>
        <v>0</v>
      </c>
      <c r="O96" s="722">
        <f>+E96+G96+I96+K96</f>
        <v>0</v>
      </c>
      <c r="P96" s="596">
        <f t="shared" si="159"/>
        <v>0</v>
      </c>
      <c r="Q96" s="675"/>
      <c r="R96" s="493"/>
      <c r="U96" s="616"/>
      <c r="V96" s="617"/>
      <c r="W96" s="618"/>
      <c r="X96" s="617"/>
      <c r="Y96" s="618"/>
      <c r="Z96" s="617"/>
      <c r="AA96" s="618"/>
      <c r="AB96" s="617"/>
      <c r="AC96" s="619"/>
      <c r="AD96" s="535"/>
      <c r="AE96" s="620"/>
      <c r="AF96" s="618"/>
      <c r="AG96" s="618"/>
      <c r="AH96" s="618"/>
      <c r="AI96" s="619"/>
      <c r="AK96" s="621"/>
      <c r="AL96" s="622"/>
      <c r="AM96" s="622"/>
      <c r="AN96" s="622"/>
      <c r="AO96" s="623"/>
    </row>
    <row r="97" spans="1:44" s="447" customFormat="1" ht="33.65" customHeight="1">
      <c r="B97" s="650" t="s">
        <v>442</v>
      </c>
      <c r="C97" s="673" t="s">
        <v>439</v>
      </c>
      <c r="D97" s="596"/>
      <c r="E97" s="596"/>
      <c r="F97" s="596">
        <f t="shared" si="155"/>
        <v>0</v>
      </c>
      <c r="G97" s="577"/>
      <c r="H97" s="596">
        <f t="shared" si="152"/>
        <v>0</v>
      </c>
      <c r="I97" s="577"/>
      <c r="J97" s="596">
        <f t="shared" si="156"/>
        <v>0</v>
      </c>
      <c r="K97" s="577"/>
      <c r="L97" s="596">
        <f t="shared" si="158"/>
        <v>0</v>
      </c>
      <c r="M97" s="596"/>
      <c r="N97" s="596"/>
      <c r="O97" s="593">
        <f t="shared" si="157"/>
        <v>0</v>
      </c>
      <c r="P97" s="596">
        <f t="shared" si="159"/>
        <v>0</v>
      </c>
      <c r="Q97" s="675"/>
      <c r="R97" s="493"/>
      <c r="U97" s="616"/>
      <c r="V97" s="617"/>
      <c r="W97" s="618"/>
      <c r="X97" s="617"/>
      <c r="Y97" s="618"/>
      <c r="Z97" s="617"/>
      <c r="AA97" s="618"/>
      <c r="AB97" s="617"/>
      <c r="AC97" s="619"/>
      <c r="AD97" s="535"/>
      <c r="AE97" s="620"/>
      <c r="AF97" s="618"/>
      <c r="AG97" s="618"/>
      <c r="AH97" s="618"/>
      <c r="AI97" s="619"/>
      <c r="AK97" s="621"/>
      <c r="AL97" s="622"/>
      <c r="AM97" s="622"/>
      <c r="AN97" s="622"/>
      <c r="AO97" s="623"/>
    </row>
    <row r="98" spans="1:44" s="447" customFormat="1" ht="20">
      <c r="B98" s="650" t="s">
        <v>489</v>
      </c>
      <c r="C98" s="673" t="s">
        <v>439</v>
      </c>
      <c r="D98" s="596"/>
      <c r="E98" s="596"/>
      <c r="F98" s="596">
        <f t="shared" si="155"/>
        <v>0</v>
      </c>
      <c r="G98" s="577"/>
      <c r="H98" s="596">
        <f t="shared" si="152"/>
        <v>0</v>
      </c>
      <c r="I98" s="577"/>
      <c r="J98" s="596"/>
      <c r="K98" s="577"/>
      <c r="L98" s="596"/>
      <c r="M98" s="596"/>
      <c r="N98" s="596"/>
      <c r="O98" s="593"/>
      <c r="P98" s="596">
        <f t="shared" si="159"/>
        <v>0</v>
      </c>
      <c r="Q98" s="675"/>
      <c r="R98" s="493"/>
      <c r="U98" s="616"/>
      <c r="V98" s="617"/>
      <c r="W98" s="618"/>
      <c r="X98" s="617"/>
      <c r="Y98" s="618"/>
      <c r="Z98" s="617"/>
      <c r="AA98" s="618"/>
      <c r="AB98" s="617"/>
      <c r="AC98" s="619"/>
      <c r="AD98" s="535"/>
      <c r="AE98" s="620"/>
      <c r="AF98" s="618"/>
      <c r="AG98" s="618"/>
      <c r="AH98" s="618"/>
      <c r="AI98" s="619"/>
      <c r="AK98" s="621"/>
      <c r="AL98" s="622"/>
      <c r="AM98" s="622"/>
      <c r="AN98" s="622"/>
      <c r="AO98" s="623"/>
    </row>
    <row r="99" spans="1:44" s="447" customFormat="1" ht="55.5" customHeight="1">
      <c r="B99" s="650" t="s">
        <v>468</v>
      </c>
      <c r="C99" s="595" t="s">
        <v>437</v>
      </c>
      <c r="D99" s="596"/>
      <c r="E99" s="595"/>
      <c r="F99" s="596">
        <f t="shared" si="155"/>
        <v>0</v>
      </c>
      <c r="G99" s="595"/>
      <c r="H99" s="596">
        <f t="shared" si="152"/>
        <v>0</v>
      </c>
      <c r="I99" s="595"/>
      <c r="J99" s="596">
        <f t="shared" si="156"/>
        <v>0</v>
      </c>
      <c r="K99" s="595"/>
      <c r="L99" s="596">
        <f t="shared" si="158"/>
        <v>0</v>
      </c>
      <c r="M99" s="596"/>
      <c r="N99" s="596">
        <f>D99*M99</f>
        <v>0</v>
      </c>
      <c r="O99" s="593">
        <f t="shared" si="157"/>
        <v>0</v>
      </c>
      <c r="P99" s="596">
        <f>L99+J99+H99+F99+N99</f>
        <v>0</v>
      </c>
      <c r="Q99" s="530"/>
      <c r="R99" s="660"/>
      <c r="U99" s="532"/>
      <c r="V99" s="522"/>
      <c r="W99" s="533"/>
      <c r="X99" s="522"/>
      <c r="Y99" s="533"/>
      <c r="Z99" s="522"/>
      <c r="AA99" s="533"/>
      <c r="AB99" s="522"/>
      <c r="AC99" s="534"/>
      <c r="AD99" s="535"/>
      <c r="AE99" s="536"/>
      <c r="AF99" s="533"/>
      <c r="AG99" s="533"/>
      <c r="AH99" s="533"/>
      <c r="AI99" s="534"/>
      <c r="AK99" s="537"/>
      <c r="AL99" s="538"/>
      <c r="AM99" s="538"/>
      <c r="AN99" s="538"/>
      <c r="AO99" s="539"/>
      <c r="AR99" s="659"/>
    </row>
    <row r="100" spans="1:44" s="447" customFormat="1" ht="20">
      <c r="B100" s="650" t="s">
        <v>469</v>
      </c>
      <c r="C100" s="595" t="s">
        <v>443</v>
      </c>
      <c r="D100" s="596"/>
      <c r="E100" s="595"/>
      <c r="F100" s="596">
        <f t="shared" si="155"/>
        <v>0</v>
      </c>
      <c r="G100" s="595"/>
      <c r="H100" s="596">
        <f t="shared" si="152"/>
        <v>0</v>
      </c>
      <c r="I100" s="595"/>
      <c r="J100" s="596">
        <f t="shared" si="156"/>
        <v>0</v>
      </c>
      <c r="K100" s="595"/>
      <c r="L100" s="596">
        <f t="shared" si="158"/>
        <v>0</v>
      </c>
      <c r="M100" s="596"/>
      <c r="N100" s="596">
        <f t="shared" ref="N100:N102" si="160">D100*M100</f>
        <v>0</v>
      </c>
      <c r="O100" s="593">
        <f t="shared" si="157"/>
        <v>0</v>
      </c>
      <c r="P100" s="596">
        <f t="shared" si="159"/>
        <v>0</v>
      </c>
      <c r="Q100" s="530"/>
      <c r="R100" s="493"/>
      <c r="U100" s="532"/>
      <c r="V100" s="522"/>
      <c r="W100" s="533"/>
      <c r="X100" s="522"/>
      <c r="Y100" s="533"/>
      <c r="Z100" s="522"/>
      <c r="AA100" s="533"/>
      <c r="AB100" s="522"/>
      <c r="AC100" s="534"/>
      <c r="AD100" s="535"/>
      <c r="AE100" s="536"/>
      <c r="AF100" s="533"/>
      <c r="AG100" s="533"/>
      <c r="AH100" s="533"/>
      <c r="AI100" s="534"/>
      <c r="AK100" s="537"/>
      <c r="AL100" s="538"/>
      <c r="AM100" s="538"/>
      <c r="AN100" s="538"/>
      <c r="AO100" s="539"/>
      <c r="AR100" s="659"/>
    </row>
    <row r="101" spans="1:44" s="447" customFormat="1" ht="32">
      <c r="B101" s="572" t="s">
        <v>444</v>
      </c>
      <c r="C101" s="595" t="s">
        <v>424</v>
      </c>
      <c r="D101" s="596"/>
      <c r="E101" s="595"/>
      <c r="F101" s="596">
        <f t="shared" si="155"/>
        <v>0</v>
      </c>
      <c r="G101" s="595"/>
      <c r="H101" s="596">
        <f t="shared" si="152"/>
        <v>0</v>
      </c>
      <c r="I101" s="595"/>
      <c r="J101" s="596">
        <f t="shared" si="156"/>
        <v>0</v>
      </c>
      <c r="K101" s="595"/>
      <c r="L101" s="596">
        <f t="shared" si="158"/>
        <v>0</v>
      </c>
      <c r="M101" s="596"/>
      <c r="N101" s="596">
        <f t="shared" si="160"/>
        <v>0</v>
      </c>
      <c r="O101" s="593">
        <f t="shared" si="157"/>
        <v>0</v>
      </c>
      <c r="P101" s="596">
        <f t="shared" si="159"/>
        <v>0</v>
      </c>
      <c r="Q101" s="530"/>
      <c r="R101" s="493"/>
      <c r="U101" s="532"/>
      <c r="V101" s="522"/>
      <c r="W101" s="533"/>
      <c r="X101" s="522"/>
      <c r="Y101" s="533"/>
      <c r="Z101" s="522"/>
      <c r="AA101" s="533"/>
      <c r="AB101" s="522"/>
      <c r="AC101" s="534"/>
      <c r="AD101" s="535"/>
      <c r="AE101" s="536"/>
      <c r="AF101" s="533"/>
      <c r="AG101" s="533"/>
      <c r="AH101" s="533"/>
      <c r="AI101" s="534"/>
      <c r="AK101" s="537"/>
      <c r="AL101" s="538"/>
      <c r="AM101" s="538"/>
      <c r="AN101" s="538"/>
      <c r="AO101" s="539"/>
      <c r="AR101" s="653"/>
    </row>
    <row r="102" spans="1:44" s="447" customFormat="1" ht="30.75" customHeight="1">
      <c r="B102" s="572" t="s">
        <v>527</v>
      </c>
      <c r="C102" s="595" t="s">
        <v>501</v>
      </c>
      <c r="D102" s="596"/>
      <c r="E102" s="595"/>
      <c r="F102" s="596">
        <f>(E102*D102)</f>
        <v>0</v>
      </c>
      <c r="G102" s="595"/>
      <c r="H102" s="596">
        <f>G102*D102</f>
        <v>0</v>
      </c>
      <c r="I102" s="595"/>
      <c r="J102" s="596">
        <f>D102*I102</f>
        <v>0</v>
      </c>
      <c r="K102" s="595"/>
      <c r="L102" s="596">
        <f>D102*K102</f>
        <v>0</v>
      </c>
      <c r="M102" s="596"/>
      <c r="N102" s="596">
        <f t="shared" si="160"/>
        <v>0</v>
      </c>
      <c r="O102" s="593">
        <f>+E102+G102+I102+K102</f>
        <v>0</v>
      </c>
      <c r="P102" s="596">
        <f t="shared" si="159"/>
        <v>0</v>
      </c>
      <c r="Q102" s="530"/>
      <c r="R102" s="493" t="s">
        <v>509</v>
      </c>
      <c r="U102" s="532"/>
      <c r="V102" s="522"/>
      <c r="W102" s="533"/>
      <c r="X102" s="522"/>
      <c r="Y102" s="533"/>
      <c r="Z102" s="522"/>
      <c r="AA102" s="533"/>
      <c r="AB102" s="522"/>
      <c r="AC102" s="534"/>
      <c r="AD102" s="535"/>
      <c r="AE102" s="536"/>
      <c r="AF102" s="533"/>
      <c r="AG102" s="533"/>
      <c r="AH102" s="533"/>
      <c r="AI102" s="534"/>
      <c r="AK102" s="537"/>
      <c r="AL102" s="538"/>
      <c r="AM102" s="538"/>
      <c r="AN102" s="538"/>
      <c r="AO102" s="539"/>
      <c r="AR102" s="653"/>
    </row>
    <row r="103" spans="1:44" s="447" customFormat="1" ht="34.5" customHeight="1">
      <c r="B103" s="572" t="str">
        <f>'Activity Budget Example'!B45</f>
        <v>4.15. Fundamentals of Social Accountability Monitoring Training Training (PSAM) in Country Training for CSOs</v>
      </c>
      <c r="C103" s="595" t="s">
        <v>505</v>
      </c>
      <c r="D103" s="596"/>
      <c r="E103" s="595"/>
      <c r="F103" s="596">
        <f>(E103*D103)</f>
        <v>0</v>
      </c>
      <c r="G103" s="595"/>
      <c r="H103" s="596">
        <f>G103*D103</f>
        <v>0</v>
      </c>
      <c r="I103" s="595"/>
      <c r="J103" s="596">
        <f>D103*I103</f>
        <v>0</v>
      </c>
      <c r="K103" s="595"/>
      <c r="L103" s="596">
        <f>D103*K103</f>
        <v>0</v>
      </c>
      <c r="M103" s="596"/>
      <c r="N103" s="596"/>
      <c r="O103" s="593"/>
      <c r="P103" s="596">
        <f t="shared" si="159"/>
        <v>0</v>
      </c>
      <c r="Q103" s="530"/>
      <c r="R103" s="493" t="s">
        <v>508</v>
      </c>
      <c r="U103" s="532"/>
      <c r="V103" s="522"/>
      <c r="W103" s="533"/>
      <c r="X103" s="522"/>
      <c r="Y103" s="533"/>
      <c r="Z103" s="522"/>
      <c r="AA103" s="533"/>
      <c r="AB103" s="522"/>
      <c r="AC103" s="534"/>
      <c r="AD103" s="535"/>
      <c r="AE103" s="536"/>
      <c r="AF103" s="533"/>
      <c r="AG103" s="533"/>
      <c r="AH103" s="533"/>
      <c r="AI103" s="534"/>
      <c r="AK103" s="537"/>
      <c r="AL103" s="538"/>
      <c r="AM103" s="538"/>
      <c r="AN103" s="538"/>
      <c r="AO103" s="539"/>
      <c r="AR103" s="653"/>
    </row>
    <row r="104" spans="1:44" s="447" customFormat="1" ht="14.25" customHeight="1">
      <c r="B104" s="575"/>
      <c r="C104" s="595"/>
      <c r="D104" s="596"/>
      <c r="E104" s="595"/>
      <c r="F104" s="596"/>
      <c r="G104" s="725"/>
      <c r="H104" s="727"/>
      <c r="I104" s="725"/>
      <c r="J104" s="727"/>
      <c r="K104" s="725"/>
      <c r="L104" s="727"/>
      <c r="M104" s="727"/>
      <c r="N104" s="727"/>
      <c r="O104" s="728"/>
      <c r="P104" s="727"/>
      <c r="Q104" s="530"/>
      <c r="R104" s="493"/>
      <c r="U104" s="532">
        <f>F104</f>
        <v>0</v>
      </c>
      <c r="V104" s="522" t="s">
        <v>76</v>
      </c>
      <c r="W104" s="533"/>
      <c r="X104" s="522" t="s">
        <v>77</v>
      </c>
      <c r="Y104" s="533"/>
      <c r="Z104" s="522" t="s">
        <v>78</v>
      </c>
      <c r="AA104" s="533">
        <f>L104</f>
        <v>0</v>
      </c>
      <c r="AB104" s="522" t="s">
        <v>79</v>
      </c>
      <c r="AC104" s="534">
        <f>SUM(U104:AA104)</f>
        <v>0</v>
      </c>
      <c r="AD104" s="535"/>
      <c r="AE104" s="536">
        <f>U104/$AG$6</f>
        <v>0</v>
      </c>
      <c r="AF104" s="533">
        <f>W104/$AG$6</f>
        <v>0</v>
      </c>
      <c r="AG104" s="533">
        <f>Y104/$AG$6</f>
        <v>0</v>
      </c>
      <c r="AH104" s="533">
        <f>AA104/$AG$6</f>
        <v>0</v>
      </c>
      <c r="AI104" s="534">
        <f>SUM(AE104:AH104)</f>
        <v>0</v>
      </c>
      <c r="AK104" s="537">
        <f t="shared" ref="AK104:AN104" si="161">AE104*$AM$6</f>
        <v>0</v>
      </c>
      <c r="AL104" s="538">
        <f t="shared" si="161"/>
        <v>0</v>
      </c>
      <c r="AM104" s="538">
        <f t="shared" si="161"/>
        <v>0</v>
      </c>
      <c r="AN104" s="538">
        <f t="shared" si="161"/>
        <v>0</v>
      </c>
      <c r="AO104" s="539">
        <f>SUM(AK104:AN104)</f>
        <v>0</v>
      </c>
    </row>
    <row r="105" spans="1:44" s="442" customFormat="1" ht="21.75" customHeight="1">
      <c r="A105" s="447"/>
      <c r="B105" s="676" t="s">
        <v>445</v>
      </c>
      <c r="C105" s="677">
        <f>SUBTOTAL(9,C63:C104)</f>
        <v>0</v>
      </c>
      <c r="D105" s="677">
        <f t="shared" ref="D105:P105" si="162">SUBTOTAL(9,D64:D104)</f>
        <v>0</v>
      </c>
      <c r="E105" s="677">
        <f t="shared" si="162"/>
        <v>0</v>
      </c>
      <c r="F105" s="677">
        <f t="shared" si="162"/>
        <v>0</v>
      </c>
      <c r="G105" s="677">
        <f t="shared" si="162"/>
        <v>0</v>
      </c>
      <c r="H105" s="677">
        <f t="shared" si="162"/>
        <v>0</v>
      </c>
      <c r="I105" s="677">
        <f t="shared" si="162"/>
        <v>1</v>
      </c>
      <c r="J105" s="677">
        <f t="shared" si="162"/>
        <v>0</v>
      </c>
      <c r="K105" s="677">
        <f t="shared" si="162"/>
        <v>0</v>
      </c>
      <c r="L105" s="677">
        <f t="shared" si="162"/>
        <v>0</v>
      </c>
      <c r="M105" s="677">
        <f t="shared" si="162"/>
        <v>0</v>
      </c>
      <c r="N105" s="677">
        <f>SUBTOTAL(9,N64:N104)</f>
        <v>0</v>
      </c>
      <c r="O105" s="677">
        <f t="shared" si="162"/>
        <v>1</v>
      </c>
      <c r="P105" s="677">
        <f t="shared" si="162"/>
        <v>0</v>
      </c>
      <c r="Q105" s="678">
        <f>SUM(Q73:Q104)</f>
        <v>0</v>
      </c>
      <c r="R105" s="679"/>
      <c r="S105" s="574"/>
      <c r="T105" s="574"/>
      <c r="U105" s="680" t="e">
        <f>#REF!+#REF!+#REF!+U63</f>
        <v>#REF!</v>
      </c>
      <c r="V105" s="681"/>
      <c r="W105" s="680" t="e">
        <f>#REF!+#REF!+#REF!+W63</f>
        <v>#REF!</v>
      </c>
      <c r="X105" s="681"/>
      <c r="Y105" s="680" t="e">
        <f>#REF!+#REF!+#REF!+Y63</f>
        <v>#REF!</v>
      </c>
      <c r="Z105" s="681"/>
      <c r="AA105" s="680" t="e">
        <f>#REF!+#REF!+#REF!+AA63</f>
        <v>#REF!</v>
      </c>
      <c r="AB105" s="682"/>
      <c r="AC105" s="680" t="e">
        <f>#REF!+#REF!+#REF!+AC63</f>
        <v>#REF!</v>
      </c>
      <c r="AD105" s="535"/>
      <c r="AE105" s="680" t="e">
        <f>#REF!+#REF!+#REF!+AE63</f>
        <v>#REF!</v>
      </c>
      <c r="AF105" s="680" t="e">
        <f>#REF!+#REF!+#REF!+AF63</f>
        <v>#REF!</v>
      </c>
      <c r="AG105" s="680" t="e">
        <f>#REF!+#REF!+#REF!+AG63</f>
        <v>#REF!</v>
      </c>
      <c r="AH105" s="680" t="e">
        <f>#REF!+#REF!+#REF!+AH63</f>
        <v>#REF!</v>
      </c>
      <c r="AI105" s="680" t="e">
        <f>#REF!+#REF!+#REF!+AI63</f>
        <v>#REF!</v>
      </c>
      <c r="AJ105" s="683"/>
      <c r="AK105" s="680" t="e">
        <f>#REF!+#REF!+#REF!+AK63</f>
        <v>#REF!</v>
      </c>
      <c r="AL105" s="680" t="e">
        <f>#REF!+#REF!+#REF!+AL63</f>
        <v>#REF!</v>
      </c>
      <c r="AM105" s="680" t="e">
        <f>#REF!+#REF!+#REF!+AM63</f>
        <v>#REF!</v>
      </c>
      <c r="AN105" s="680" t="e">
        <f>#REF!+#REF!+#REF!+AN63</f>
        <v>#REF!</v>
      </c>
      <c r="AO105" s="680" t="e">
        <f>#REF!+#REF!+#REF!+AO63</f>
        <v>#REF!</v>
      </c>
    </row>
    <row r="106" spans="1:44" s="442" customFormat="1" ht="14.25" customHeight="1">
      <c r="B106" s="684" t="s">
        <v>446</v>
      </c>
      <c r="C106" s="685"/>
      <c r="D106" s="686">
        <f t="shared" ref="D106:M106" si="163">SUBTOTAL(9,D13:D105)</f>
        <v>0</v>
      </c>
      <c r="E106" s="686">
        <f t="shared" si="163"/>
        <v>85</v>
      </c>
      <c r="F106" s="686">
        <f t="shared" si="163"/>
        <v>0</v>
      </c>
      <c r="G106" s="686">
        <f t="shared" si="163"/>
        <v>205</v>
      </c>
      <c r="H106" s="686">
        <f t="shared" si="163"/>
        <v>0</v>
      </c>
      <c r="I106" s="686">
        <f t="shared" si="163"/>
        <v>205</v>
      </c>
      <c r="J106" s="686">
        <f t="shared" si="163"/>
        <v>0</v>
      </c>
      <c r="K106" s="686">
        <f t="shared" si="163"/>
        <v>204</v>
      </c>
      <c r="L106" s="686">
        <f t="shared" si="163"/>
        <v>0</v>
      </c>
      <c r="M106" s="686">
        <f t="shared" si="163"/>
        <v>102</v>
      </c>
      <c r="N106" s="686">
        <f t="shared" ref="N106" si="164">SUBTOTAL(9,N13:N105)</f>
        <v>0</v>
      </c>
      <c r="O106" s="686">
        <f>SUBTOTAL(9,O13:O105)</f>
        <v>783</v>
      </c>
      <c r="P106" s="686">
        <f>SUBTOTAL(9,P13:P105)</f>
        <v>0</v>
      </c>
      <c r="Q106" s="687"/>
      <c r="R106" s="688"/>
      <c r="S106" s="574"/>
      <c r="T106" s="574"/>
      <c r="U106" s="689"/>
      <c r="V106" s="681"/>
      <c r="W106" s="689"/>
      <c r="X106" s="681"/>
      <c r="Y106" s="689"/>
      <c r="Z106" s="681"/>
      <c r="AA106" s="689"/>
      <c r="AB106" s="682"/>
      <c r="AC106" s="690"/>
      <c r="AD106" s="535"/>
      <c r="AE106" s="689"/>
      <c r="AF106" s="689"/>
      <c r="AG106" s="689"/>
      <c r="AH106" s="689"/>
      <c r="AI106" s="689"/>
      <c r="AJ106" s="683"/>
      <c r="AK106" s="689"/>
      <c r="AL106" s="689"/>
      <c r="AM106" s="689"/>
      <c r="AN106" s="689"/>
      <c r="AO106" s="689"/>
    </row>
    <row r="107" spans="1:44" ht="14.25" customHeight="1">
      <c r="A107" s="442"/>
      <c r="B107" s="691" t="s">
        <v>168</v>
      </c>
      <c r="C107" s="692"/>
      <c r="D107" s="693">
        <f t="shared" ref="D107:Q107" si="165">SUBTOTAL(9,D13:D106)</f>
        <v>0</v>
      </c>
      <c r="E107" s="693">
        <f t="shared" si="165"/>
        <v>85</v>
      </c>
      <c r="F107" s="693">
        <f t="shared" si="165"/>
        <v>0</v>
      </c>
      <c r="G107" s="693">
        <f t="shared" si="165"/>
        <v>205</v>
      </c>
      <c r="H107" s="693">
        <f t="shared" si="165"/>
        <v>0</v>
      </c>
      <c r="I107" s="693">
        <f t="shared" si="165"/>
        <v>205</v>
      </c>
      <c r="J107" s="693">
        <f t="shared" si="165"/>
        <v>0</v>
      </c>
      <c r="K107" s="693">
        <f t="shared" si="165"/>
        <v>204</v>
      </c>
      <c r="L107" s="693">
        <f t="shared" si="165"/>
        <v>0</v>
      </c>
      <c r="M107" s="693">
        <f t="shared" si="165"/>
        <v>102</v>
      </c>
      <c r="N107" s="693">
        <f t="shared" si="165"/>
        <v>0</v>
      </c>
      <c r="O107" s="693">
        <f t="shared" si="165"/>
        <v>783</v>
      </c>
      <c r="P107" s="693">
        <f t="shared" si="165"/>
        <v>0</v>
      </c>
      <c r="Q107" s="693">
        <f t="shared" si="165"/>
        <v>0</v>
      </c>
      <c r="R107" s="694"/>
      <c r="U107" s="695" t="e">
        <f>SUM(#REF!)</f>
        <v>#REF!</v>
      </c>
      <c r="V107" s="695"/>
      <c r="W107" s="695" t="e">
        <f>SUM(#REF!)</f>
        <v>#REF!</v>
      </c>
      <c r="X107" s="695"/>
      <c r="Y107" s="695" t="e">
        <f>SUM(#REF!)</f>
        <v>#REF!</v>
      </c>
      <c r="Z107" s="695"/>
      <c r="AA107" s="695" t="e">
        <f>SUM(#REF!)</f>
        <v>#REF!</v>
      </c>
      <c r="AB107" s="696"/>
      <c r="AC107" s="696" t="e">
        <f>SUM(#REF!)</f>
        <v>#REF!</v>
      </c>
      <c r="AD107" s="535"/>
      <c r="AE107" s="697" t="e">
        <f>SUM(#REF!)</f>
        <v>#REF!</v>
      </c>
      <c r="AF107" s="695" t="e">
        <f>SUM(#REF!)</f>
        <v>#REF!</v>
      </c>
      <c r="AG107" s="695" t="e">
        <f>SUM(#REF!)</f>
        <v>#REF!</v>
      </c>
      <c r="AH107" s="695" t="e">
        <f>SUM(#REF!)</f>
        <v>#REF!</v>
      </c>
      <c r="AI107" s="695" t="e">
        <f>SUM(#REF!)</f>
        <v>#REF!</v>
      </c>
      <c r="AJ107" s="698"/>
      <c r="AK107" s="699" t="e">
        <f>SUM(#REF!)</f>
        <v>#REF!</v>
      </c>
      <c r="AL107" s="699" t="e">
        <f>SUM(#REF!)</f>
        <v>#REF!</v>
      </c>
      <c r="AM107" s="699" t="e">
        <f>SUM(#REF!)</f>
        <v>#REF!</v>
      </c>
      <c r="AN107" s="699" t="e">
        <f>SUM(#REF!)</f>
        <v>#REF!</v>
      </c>
      <c r="AO107" s="699" t="e">
        <f>SUM(#REF!)</f>
        <v>#REF!</v>
      </c>
    </row>
    <row r="108" spans="1:44" ht="14.25" customHeight="1">
      <c r="B108" s="575"/>
      <c r="C108" s="527"/>
      <c r="D108" s="528"/>
      <c r="E108" s="527"/>
      <c r="F108" s="700"/>
      <c r="G108" s="528"/>
      <c r="H108" s="700"/>
      <c r="I108" s="528"/>
      <c r="J108" s="700"/>
      <c r="K108" s="528"/>
      <c r="L108" s="700"/>
      <c r="M108" s="700"/>
      <c r="N108" s="700"/>
      <c r="O108" s="528"/>
      <c r="P108" s="700"/>
      <c r="Q108" s="530"/>
      <c r="R108" s="701"/>
      <c r="U108" s="700"/>
      <c r="V108" s="702"/>
      <c r="W108" s="700"/>
      <c r="X108" s="528"/>
      <c r="Y108" s="700"/>
      <c r="Z108" s="528"/>
      <c r="AA108" s="700"/>
      <c r="AB108" s="703"/>
      <c r="AC108" s="700"/>
      <c r="AD108" s="535"/>
      <c r="AE108" s="700"/>
      <c r="AF108" s="700"/>
      <c r="AG108" s="700"/>
      <c r="AH108" s="700"/>
      <c r="AI108" s="700"/>
      <c r="AJ108" s="698"/>
      <c r="AK108" s="700"/>
      <c r="AL108" s="700"/>
      <c r="AM108" s="700"/>
      <c r="AN108" s="700"/>
      <c r="AO108" s="700"/>
    </row>
    <row r="109" spans="1:44" ht="14.25" customHeight="1">
      <c r="B109" s="704" t="s">
        <v>170</v>
      </c>
      <c r="C109" s="527"/>
      <c r="D109" s="528"/>
      <c r="E109" s="527"/>
      <c r="F109" s="705">
        <f>F107</f>
        <v>0</v>
      </c>
      <c r="G109" s="705"/>
      <c r="H109" s="705">
        <f>H107</f>
        <v>0</v>
      </c>
      <c r="I109" s="705"/>
      <c r="J109" s="705">
        <f>J107</f>
        <v>0</v>
      </c>
      <c r="K109" s="705"/>
      <c r="L109" s="705">
        <f>L107</f>
        <v>0</v>
      </c>
      <c r="M109" s="705">
        <f t="shared" ref="M109:N109" si="166">M107</f>
        <v>102</v>
      </c>
      <c r="N109" s="705">
        <f t="shared" si="166"/>
        <v>0</v>
      </c>
      <c r="O109" s="705"/>
      <c r="P109" s="705">
        <f>P107</f>
        <v>0</v>
      </c>
      <c r="Q109" s="530"/>
      <c r="R109" s="701"/>
      <c r="U109" s="705" t="e">
        <f>#REF!+U107</f>
        <v>#REF!</v>
      </c>
      <c r="V109" s="702"/>
      <c r="W109" s="705" t="e">
        <f>#REF!+W107</f>
        <v>#REF!</v>
      </c>
      <c r="X109" s="528"/>
      <c r="Y109" s="705" t="e">
        <f>#REF!+Y107</f>
        <v>#REF!</v>
      </c>
      <c r="Z109" s="528"/>
      <c r="AA109" s="705" t="e">
        <f>#REF!+AA107</f>
        <v>#REF!</v>
      </c>
      <c r="AB109" s="703"/>
      <c r="AC109" s="705" t="e">
        <f>#REF!+AC107</f>
        <v>#REF!</v>
      </c>
      <c r="AD109" s="535"/>
      <c r="AE109" s="705" t="e">
        <f>#REF!+AE107</f>
        <v>#REF!</v>
      </c>
      <c r="AF109" s="705" t="e">
        <f>#REF!+AF107</f>
        <v>#REF!</v>
      </c>
      <c r="AG109" s="705" t="e">
        <f>#REF!+AG107</f>
        <v>#REF!</v>
      </c>
      <c r="AH109" s="705" t="e">
        <f>#REF!+AH107</f>
        <v>#REF!</v>
      </c>
      <c r="AI109" s="705" t="e">
        <f>#REF!+AI107</f>
        <v>#REF!</v>
      </c>
      <c r="AJ109" s="698"/>
      <c r="AK109" s="705" t="e">
        <f>#REF!+AK107</f>
        <v>#REF!</v>
      </c>
      <c r="AL109" s="705" t="e">
        <f>#REF!+AL107</f>
        <v>#REF!</v>
      </c>
      <c r="AM109" s="705" t="e">
        <f>#REF!+AM107</f>
        <v>#REF!</v>
      </c>
      <c r="AN109" s="705" t="e">
        <f>#REF!+AN107</f>
        <v>#REF!</v>
      </c>
      <c r="AO109" s="705" t="e">
        <f>#REF!+AO107</f>
        <v>#REF!</v>
      </c>
    </row>
    <row r="110" spans="1:44" ht="21.75" hidden="1" customHeight="1" thickBot="1">
      <c r="B110" s="706" t="s">
        <v>171</v>
      </c>
      <c r="C110" s="707"/>
      <c r="D110" s="708"/>
      <c r="E110" s="707"/>
      <c r="F110" s="709">
        <f ca="1">SUMIF($A9:$A108,"Y",F9:F107)</f>
        <v>0</v>
      </c>
      <c r="G110" s="709"/>
      <c r="H110" s="709">
        <f ca="1">SUMIF($A9:$A108,"Y",H9:H107)</f>
        <v>0</v>
      </c>
      <c r="I110" s="709"/>
      <c r="J110" s="709">
        <f ca="1">SUMIF($A9:$A108,"Y",J9:J107)</f>
        <v>0</v>
      </c>
      <c r="K110" s="709"/>
      <c r="L110" s="709">
        <f ca="1">SUMIF($A9:$A108,"Y",L9:L107)</f>
        <v>0</v>
      </c>
      <c r="M110" s="709"/>
      <c r="N110" s="709"/>
      <c r="O110" s="709"/>
      <c r="P110" s="709">
        <f ca="1">SUMIF($A9:$A108,"Y",P9:P107)</f>
        <v>0</v>
      </c>
      <c r="Q110" s="710" t="e">
        <f ca="1">P110/P109</f>
        <v>#DIV/0!</v>
      </c>
      <c r="R110" s="711"/>
      <c r="U110" s="709">
        <f ca="1">SUMIF($A9:$A108,"Y",U9:U107)</f>
        <v>0</v>
      </c>
      <c r="V110" s="702"/>
      <c r="W110" s="709">
        <f ca="1">SUMIF($A9:$A108,"Y",W9:W107)</f>
        <v>0</v>
      </c>
      <c r="X110" s="528"/>
      <c r="Y110" s="709">
        <f ca="1">SUMIF($A9:$A108,"Y",Y9:Y107)</f>
        <v>0</v>
      </c>
      <c r="Z110" s="528"/>
      <c r="AA110" s="709">
        <f ca="1">SUMIF($A9:$A108,"Y",AA9:AA107)</f>
        <v>0</v>
      </c>
      <c r="AB110" s="703"/>
      <c r="AC110" s="709">
        <f ca="1">SUMIF($A9:$A108,"Y",AC9:AC107)</f>
        <v>0</v>
      </c>
      <c r="AD110" s="535"/>
      <c r="AE110" s="709">
        <f ca="1">SUMIF($A9:$A108,"Y",AE9:AE107)</f>
        <v>0</v>
      </c>
      <c r="AF110" s="709">
        <f ca="1">SUMIF($A9:$A108,"Y",AF9:AF107)</f>
        <v>0</v>
      </c>
      <c r="AG110" s="709">
        <f ca="1">SUMIF($A9:$A108,"Y",AG9:AG107)</f>
        <v>0</v>
      </c>
      <c r="AH110" s="709">
        <f ca="1">SUMIF($A9:$A108,"Y",AH9:AH107)</f>
        <v>0</v>
      </c>
      <c r="AI110" s="709">
        <f ca="1">SUMIF($A9:$A108,"Y",AI9:AI107)</f>
        <v>0</v>
      </c>
      <c r="AJ110" s="698"/>
      <c r="AK110" s="709">
        <f ca="1">SUMIF($A9:$A108,"Y",AK9:AK107)</f>
        <v>0</v>
      </c>
      <c r="AL110" s="709">
        <f ca="1">SUMIF($A9:$A108,"Y",AL9:AL107)</f>
        <v>0</v>
      </c>
      <c r="AM110" s="709">
        <f ca="1">SUMIF($A9:$A108,"Y",AM9:AM107)</f>
        <v>0</v>
      </c>
      <c r="AN110" s="709">
        <f ca="1">SUMIF($A9:$A108,"Y",AN9:AN107)</f>
        <v>0</v>
      </c>
      <c r="AO110" s="709">
        <f ca="1">SUMIF($A9:$A108,"Y",AO9:AO107)</f>
        <v>0</v>
      </c>
    </row>
    <row r="114" spans="1:41">
      <c r="P114" s="448"/>
    </row>
    <row r="117" spans="1:41" s="443" customFormat="1">
      <c r="A117" s="449"/>
      <c r="D117" s="444"/>
      <c r="F117" s="444"/>
      <c r="H117" s="444"/>
      <c r="J117" s="444"/>
      <c r="L117" s="444"/>
      <c r="M117" s="444"/>
      <c r="N117" s="444"/>
      <c r="P117" s="444"/>
      <c r="R117" s="446"/>
      <c r="S117" s="447"/>
      <c r="T117" s="447"/>
      <c r="AD117" s="453"/>
      <c r="AE117" s="444"/>
      <c r="AF117" s="444"/>
      <c r="AG117" s="444"/>
      <c r="AH117" s="444"/>
      <c r="AI117" s="444"/>
      <c r="AJ117" s="453"/>
      <c r="AK117" s="448"/>
      <c r="AL117" s="448"/>
      <c r="AM117" s="448"/>
      <c r="AN117" s="448"/>
      <c r="AO117" s="448"/>
    </row>
    <row r="118" spans="1:41" s="443" customFormat="1">
      <c r="D118" s="444"/>
      <c r="F118" s="444"/>
      <c r="H118" s="444"/>
      <c r="J118" s="444"/>
      <c r="L118" s="444"/>
      <c r="M118" s="444"/>
      <c r="N118" s="444"/>
      <c r="P118" s="444"/>
      <c r="R118" s="446"/>
      <c r="S118" s="447"/>
      <c r="T118" s="447"/>
      <c r="AD118" s="453"/>
      <c r="AE118" s="444"/>
      <c r="AF118" s="444"/>
      <c r="AG118" s="444"/>
      <c r="AH118" s="444"/>
      <c r="AI118" s="444"/>
      <c r="AJ118" s="453"/>
      <c r="AK118" s="448"/>
      <c r="AL118" s="448"/>
      <c r="AM118" s="448"/>
      <c r="AN118" s="448"/>
      <c r="AO118" s="448"/>
    </row>
    <row r="119" spans="1:41">
      <c r="A119" s="443"/>
    </row>
    <row r="123" spans="1:41">
      <c r="AI123" s="444" t="e">
        <f>#REF!</f>
        <v>#REF!</v>
      </c>
    </row>
    <row r="124" spans="1:41">
      <c r="AI124" s="444" t="e">
        <f>AI123*AG6</f>
        <v>#REF!</v>
      </c>
    </row>
    <row r="128" spans="1:41">
      <c r="AI128" s="444" t="e">
        <f>AI124/2</f>
        <v>#REF!</v>
      </c>
    </row>
  </sheetData>
  <mergeCells count="7">
    <mergeCell ref="R44:U44"/>
    <mergeCell ref="A10:A11"/>
    <mergeCell ref="U5:AC5"/>
    <mergeCell ref="AE5:AI5"/>
    <mergeCell ref="AK5:AO5"/>
    <mergeCell ref="B10:B11"/>
    <mergeCell ref="Q10:Q11"/>
  </mergeCells>
  <pageMargins left="0.70866141732283472" right="0.70866141732283472" top="0.74803149606299213" bottom="0.74803149606299213" header="0.31496062992125984" footer="0.31496062992125984"/>
  <pageSetup scale="31" fitToHeight="0" orientation="landscape" r:id="rId1"/>
  <rowBreaks count="2" manualBreakCount="2">
    <brk id="63" max="16383" man="1"/>
    <brk id="64" max="16383" man="1"/>
  </rowBreaks>
  <customProperties>
    <customPr name="QAA_DRILLPATH_NODE_ID" r:id="rId2"/>
  </customProperties>
  <drawing r:id="rId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8F412-6506-4976-B0BB-1C8E4278CB75}">
  <sheetPr>
    <tabColor rgb="FFFF0000"/>
    <pageSetUpPr fitToPage="1"/>
  </sheetPr>
  <dimension ref="A1:AK128"/>
  <sheetViews>
    <sheetView showGridLines="0" view="pageBreakPreview" topLeftCell="A102" zoomScale="71" zoomScaleNormal="70" zoomScaleSheetLayoutView="71" zoomScalePageLayoutView="70" workbookViewId="0">
      <selection activeCell="B88" sqref="B88"/>
    </sheetView>
  </sheetViews>
  <sheetFormatPr defaultColWidth="8.81640625" defaultRowHeight="16"/>
  <cols>
    <col min="1" max="1" width="9.54296875" style="449" customWidth="1"/>
    <col min="2" max="2" width="57.54296875" style="443" customWidth="1"/>
    <col min="3" max="3" width="21.453125" style="443" customWidth="1"/>
    <col min="4" max="4" width="18.54296875" style="444" customWidth="1"/>
    <col min="5" max="5" width="15.36328125" style="443" customWidth="1"/>
    <col min="6" max="6" width="27.453125" style="444" customWidth="1"/>
    <col min="7" max="7" width="17.453125" style="443" hidden="1" customWidth="1"/>
    <col min="8" max="8" width="43.81640625" style="446" customWidth="1"/>
    <col min="9" max="9" width="10.453125" style="447" hidden="1" customWidth="1"/>
    <col min="10" max="10" width="13.453125" style="447" hidden="1" customWidth="1"/>
    <col min="11" max="12" width="21.453125" style="443" hidden="1" customWidth="1"/>
    <col min="13" max="14" width="22" style="443" hidden="1" customWidth="1"/>
    <col min="15" max="16" width="22.453125" style="443" hidden="1" customWidth="1"/>
    <col min="17" max="18" width="22.81640625" style="443" hidden="1" customWidth="1"/>
    <col min="19" max="19" width="19.453125" style="443" hidden="1" customWidth="1"/>
    <col min="20" max="20" width="23.453125" style="447" hidden="1" customWidth="1"/>
    <col min="21" max="21" width="17.453125" style="444" hidden="1" customWidth="1"/>
    <col min="22" max="22" width="16" style="444" hidden="1" customWidth="1"/>
    <col min="23" max="24" width="17.453125" style="444" hidden="1" customWidth="1"/>
    <col min="25" max="25" width="16.453125" style="444" hidden="1" customWidth="1"/>
    <col min="26" max="26" width="9.1796875" style="447" hidden="1" customWidth="1"/>
    <col min="27" max="27" width="22.453125" style="448" hidden="1" customWidth="1"/>
    <col min="28" max="28" width="22.1796875" style="448" hidden="1" customWidth="1"/>
    <col min="29" max="30" width="17.453125" style="448" hidden="1" customWidth="1"/>
    <col min="31" max="31" width="18.1796875" style="448" hidden="1" customWidth="1"/>
    <col min="32" max="32" width="18.453125" style="449" hidden="1" customWidth="1"/>
    <col min="33" max="33" width="12.1796875" style="449" hidden="1" customWidth="1"/>
    <col min="34" max="34" width="21.54296875" style="449" customWidth="1"/>
    <col min="35" max="35" width="8.81640625" style="449"/>
    <col min="36" max="36" width="13.453125" style="449" customWidth="1"/>
    <col min="37" max="205" width="8.81640625" style="449"/>
    <col min="206" max="206" width="1.453125" style="449" customWidth="1"/>
    <col min="207" max="207" width="51.453125" style="449" customWidth="1"/>
    <col min="208" max="208" width="12.453125" style="449" customWidth="1"/>
    <col min="209" max="209" width="21.453125" style="449" bestFit="1" customWidth="1"/>
    <col min="210" max="210" width="12.453125" style="449" customWidth="1"/>
    <col min="211" max="211" width="14.453125" style="449" customWidth="1"/>
    <col min="212" max="212" width="15.1796875" style="449" customWidth="1"/>
    <col min="213" max="213" width="12.453125" style="449" bestFit="1" customWidth="1"/>
    <col min="214" max="214" width="13" style="449" customWidth="1"/>
    <col min="215" max="215" width="14.54296875" style="449" customWidth="1"/>
    <col min="216" max="216" width="44.453125" style="449" customWidth="1"/>
    <col min="217" max="217" width="34.54296875" style="449" customWidth="1"/>
    <col min="218" max="218" width="37.453125" style="449" customWidth="1"/>
    <col min="219" max="219" width="19.81640625" style="449" customWidth="1"/>
    <col min="220" max="244" width="8.81640625" style="449"/>
    <col min="245" max="245" width="9.54296875" style="449" customWidth="1"/>
    <col min="246" max="246" width="50.54296875" style="449" customWidth="1"/>
    <col min="247" max="247" width="14.81640625" style="449" customWidth="1"/>
    <col min="248" max="248" width="15.54296875" style="449" customWidth="1"/>
    <col min="249" max="249" width="8.54296875" style="449" bestFit="1" customWidth="1"/>
    <col min="250" max="250" width="21.1796875" style="449" customWidth="1"/>
    <col min="251" max="251" width="10.453125" style="449" customWidth="1"/>
    <col min="252" max="252" width="17.453125" style="449" customWidth="1"/>
    <col min="253" max="253" width="11.1796875" style="449" customWidth="1"/>
    <col min="254" max="254" width="17.453125" style="449" customWidth="1"/>
    <col min="255" max="255" width="9.453125" style="449" customWidth="1"/>
    <col min="256" max="256" width="17.453125" style="449" customWidth="1"/>
    <col min="257" max="257" width="10.453125" style="449" customWidth="1"/>
    <col min="258" max="258" width="19.453125" style="449" customWidth="1"/>
    <col min="259" max="259" width="17.453125" style="449" customWidth="1"/>
    <col min="260" max="260" width="43.81640625" style="449" customWidth="1"/>
    <col min="261" max="261" width="10.453125" style="449" customWidth="1"/>
    <col min="262" max="262" width="13.453125" style="449" customWidth="1"/>
    <col min="263" max="264" width="21.453125" style="449" customWidth="1"/>
    <col min="265" max="266" width="22" style="449" customWidth="1"/>
    <col min="267" max="267" width="22.453125" style="449" bestFit="1" customWidth="1"/>
    <col min="268" max="268" width="22.453125" style="449" customWidth="1"/>
    <col min="269" max="269" width="22.81640625" style="449" bestFit="1" customWidth="1"/>
    <col min="270" max="270" width="22.81640625" style="449" customWidth="1"/>
    <col min="271" max="271" width="19.453125" style="449" customWidth="1"/>
    <col min="272" max="272" width="8.81640625" style="449"/>
    <col min="273" max="273" width="17.453125" style="449" bestFit="1" customWidth="1"/>
    <col min="274" max="274" width="16" style="449" customWidth="1"/>
    <col min="275" max="276" width="17.453125" style="449" customWidth="1"/>
    <col min="277" max="277" width="16.453125" style="449" customWidth="1"/>
    <col min="278" max="278" width="8.81640625" style="449"/>
    <col min="279" max="279" width="22.453125" style="449" bestFit="1" customWidth="1"/>
    <col min="280" max="280" width="22.1796875" style="449" bestFit="1" customWidth="1"/>
    <col min="281" max="282" width="17.453125" style="449" customWidth="1"/>
    <col min="283" max="283" width="18.1796875" style="449" customWidth="1"/>
    <col min="284" max="461" width="8.81640625" style="449"/>
    <col min="462" max="462" width="1.453125" style="449" customWidth="1"/>
    <col min="463" max="463" width="51.453125" style="449" customWidth="1"/>
    <col min="464" max="464" width="12.453125" style="449" customWidth="1"/>
    <col min="465" max="465" width="21.453125" style="449" bestFit="1" customWidth="1"/>
    <col min="466" max="466" width="12.453125" style="449" customWidth="1"/>
    <col min="467" max="467" width="14.453125" style="449" customWidth="1"/>
    <col min="468" max="468" width="15.1796875" style="449" customWidth="1"/>
    <col min="469" max="469" width="12.453125" style="449" bestFit="1" customWidth="1"/>
    <col min="470" max="470" width="13" style="449" customWidth="1"/>
    <col min="471" max="471" width="14.54296875" style="449" customWidth="1"/>
    <col min="472" max="472" width="44.453125" style="449" customWidth="1"/>
    <col min="473" max="473" width="34.54296875" style="449" customWidth="1"/>
    <col min="474" max="474" width="37.453125" style="449" customWidth="1"/>
    <col min="475" max="475" width="19.81640625" style="449" customWidth="1"/>
    <col min="476" max="500" width="8.81640625" style="449"/>
    <col min="501" max="501" width="9.54296875" style="449" customWidth="1"/>
    <col min="502" max="502" width="50.54296875" style="449" customWidth="1"/>
    <col min="503" max="503" width="14.81640625" style="449" customWidth="1"/>
    <col min="504" max="504" width="15.54296875" style="449" customWidth="1"/>
    <col min="505" max="505" width="8.54296875" style="449" bestFit="1" customWidth="1"/>
    <col min="506" max="506" width="21.1796875" style="449" customWidth="1"/>
    <col min="507" max="507" width="10.453125" style="449" customWidth="1"/>
    <col min="508" max="508" width="17.453125" style="449" customWidth="1"/>
    <col min="509" max="509" width="11.1796875" style="449" customWidth="1"/>
    <col min="510" max="510" width="17.453125" style="449" customWidth="1"/>
    <col min="511" max="511" width="9.453125" style="449" customWidth="1"/>
    <col min="512" max="512" width="17.453125" style="449" customWidth="1"/>
    <col min="513" max="513" width="10.453125" style="449" customWidth="1"/>
    <col min="514" max="514" width="19.453125" style="449" customWidth="1"/>
    <col min="515" max="515" width="17.453125" style="449" customWidth="1"/>
    <col min="516" max="516" width="43.81640625" style="449" customWidth="1"/>
    <col min="517" max="517" width="10.453125" style="449" customWidth="1"/>
    <col min="518" max="518" width="13.453125" style="449" customWidth="1"/>
    <col min="519" max="520" width="21.453125" style="449" customWidth="1"/>
    <col min="521" max="522" width="22" style="449" customWidth="1"/>
    <col min="523" max="523" width="22.453125" style="449" bestFit="1" customWidth="1"/>
    <col min="524" max="524" width="22.453125" style="449" customWidth="1"/>
    <col min="525" max="525" width="22.81640625" style="449" bestFit="1" customWidth="1"/>
    <col min="526" max="526" width="22.81640625" style="449" customWidth="1"/>
    <col min="527" max="527" width="19.453125" style="449" customWidth="1"/>
    <col min="528" max="528" width="8.81640625" style="449"/>
    <col min="529" max="529" width="17.453125" style="449" bestFit="1" customWidth="1"/>
    <col min="530" max="530" width="16" style="449" customWidth="1"/>
    <col min="531" max="532" width="17.453125" style="449" customWidth="1"/>
    <col min="533" max="533" width="16.453125" style="449" customWidth="1"/>
    <col min="534" max="534" width="8.81640625" style="449"/>
    <col min="535" max="535" width="22.453125" style="449" bestFit="1" customWidth="1"/>
    <col min="536" max="536" width="22.1796875" style="449" bestFit="1" customWidth="1"/>
    <col min="537" max="538" width="17.453125" style="449" customWidth="1"/>
    <col min="539" max="539" width="18.1796875" style="449" customWidth="1"/>
    <col min="540" max="717" width="8.81640625" style="449"/>
    <col min="718" max="718" width="1.453125" style="449" customWidth="1"/>
    <col min="719" max="719" width="51.453125" style="449" customWidth="1"/>
    <col min="720" max="720" width="12.453125" style="449" customWidth="1"/>
    <col min="721" max="721" width="21.453125" style="449" bestFit="1" customWidth="1"/>
    <col min="722" max="722" width="12.453125" style="449" customWidth="1"/>
    <col min="723" max="723" width="14.453125" style="449" customWidth="1"/>
    <col min="724" max="724" width="15.1796875" style="449" customWidth="1"/>
    <col min="725" max="725" width="12.453125" style="449" bestFit="1" customWidth="1"/>
    <col min="726" max="726" width="13" style="449" customWidth="1"/>
    <col min="727" max="727" width="14.54296875" style="449" customWidth="1"/>
    <col min="728" max="728" width="44.453125" style="449" customWidth="1"/>
    <col min="729" max="729" width="34.54296875" style="449" customWidth="1"/>
    <col min="730" max="730" width="37.453125" style="449" customWidth="1"/>
    <col min="731" max="731" width="19.81640625" style="449" customWidth="1"/>
    <col min="732" max="756" width="8.81640625" style="449"/>
    <col min="757" max="757" width="9.54296875" style="449" customWidth="1"/>
    <col min="758" max="758" width="50.54296875" style="449" customWidth="1"/>
    <col min="759" max="759" width="14.81640625" style="449" customWidth="1"/>
    <col min="760" max="760" width="15.54296875" style="449" customWidth="1"/>
    <col min="761" max="761" width="8.54296875" style="449" bestFit="1" customWidth="1"/>
    <col min="762" max="762" width="21.1796875" style="449" customWidth="1"/>
    <col min="763" max="763" width="10.453125" style="449" customWidth="1"/>
    <col min="764" max="764" width="17.453125" style="449" customWidth="1"/>
    <col min="765" max="765" width="11.1796875" style="449" customWidth="1"/>
    <col min="766" max="766" width="17.453125" style="449" customWidth="1"/>
    <col min="767" max="767" width="9.453125" style="449" customWidth="1"/>
    <col min="768" max="768" width="17.453125" style="449" customWidth="1"/>
    <col min="769" max="769" width="10.453125" style="449" customWidth="1"/>
    <col min="770" max="770" width="19.453125" style="449" customWidth="1"/>
    <col min="771" max="771" width="17.453125" style="449" customWidth="1"/>
    <col min="772" max="772" width="43.81640625" style="449" customWidth="1"/>
    <col min="773" max="773" width="10.453125" style="449" customWidth="1"/>
    <col min="774" max="774" width="13.453125" style="449" customWidth="1"/>
    <col min="775" max="776" width="21.453125" style="449" customWidth="1"/>
    <col min="777" max="778" width="22" style="449" customWidth="1"/>
    <col min="779" max="779" width="22.453125" style="449" bestFit="1" customWidth="1"/>
    <col min="780" max="780" width="22.453125" style="449" customWidth="1"/>
    <col min="781" max="781" width="22.81640625" style="449" bestFit="1" customWidth="1"/>
    <col min="782" max="782" width="22.81640625" style="449" customWidth="1"/>
    <col min="783" max="783" width="19.453125" style="449" customWidth="1"/>
    <col min="784" max="784" width="8.81640625" style="449"/>
    <col min="785" max="785" width="17.453125" style="449" bestFit="1" customWidth="1"/>
    <col min="786" max="786" width="16" style="449" customWidth="1"/>
    <col min="787" max="788" width="17.453125" style="449" customWidth="1"/>
    <col min="789" max="789" width="16.453125" style="449" customWidth="1"/>
    <col min="790" max="790" width="8.81640625" style="449"/>
    <col min="791" max="791" width="22.453125" style="449" bestFit="1" customWidth="1"/>
    <col min="792" max="792" width="22.1796875" style="449" bestFit="1" customWidth="1"/>
    <col min="793" max="794" width="17.453125" style="449" customWidth="1"/>
    <col min="795" max="795" width="18.1796875" style="449" customWidth="1"/>
    <col min="796" max="973" width="8.81640625" style="449"/>
    <col min="974" max="974" width="1.453125" style="449" customWidth="1"/>
    <col min="975" max="975" width="51.453125" style="449" customWidth="1"/>
    <col min="976" max="976" width="12.453125" style="449" customWidth="1"/>
    <col min="977" max="977" width="21.453125" style="449" bestFit="1" customWidth="1"/>
    <col min="978" max="978" width="12.453125" style="449" customWidth="1"/>
    <col min="979" max="979" width="14.453125" style="449" customWidth="1"/>
    <col min="980" max="980" width="15.1796875" style="449" customWidth="1"/>
    <col min="981" max="981" width="12.453125" style="449" bestFit="1" customWidth="1"/>
    <col min="982" max="982" width="13" style="449" customWidth="1"/>
    <col min="983" max="983" width="14.54296875" style="449" customWidth="1"/>
    <col min="984" max="984" width="44.453125" style="449" customWidth="1"/>
    <col min="985" max="985" width="34.54296875" style="449" customWidth="1"/>
    <col min="986" max="986" width="37.453125" style="449" customWidth="1"/>
    <col min="987" max="987" width="19.81640625" style="449" customWidth="1"/>
    <col min="988" max="1012" width="8.81640625" style="449"/>
    <col min="1013" max="1013" width="9.54296875" style="449" customWidth="1"/>
    <col min="1014" max="1014" width="50.54296875" style="449" customWidth="1"/>
    <col min="1015" max="1015" width="14.81640625" style="449" customWidth="1"/>
    <col min="1016" max="1016" width="15.54296875" style="449" customWidth="1"/>
    <col min="1017" max="1017" width="8.54296875" style="449" bestFit="1" customWidth="1"/>
    <col min="1018" max="1018" width="21.1796875" style="449" customWidth="1"/>
    <col min="1019" max="1019" width="10.453125" style="449" customWidth="1"/>
    <col min="1020" max="1020" width="17.453125" style="449" customWidth="1"/>
    <col min="1021" max="1021" width="11.1796875" style="449" customWidth="1"/>
    <col min="1022" max="1022" width="17.453125" style="449" customWidth="1"/>
    <col min="1023" max="1023" width="9.453125" style="449" customWidth="1"/>
    <col min="1024" max="1024" width="17.453125" style="449" customWidth="1"/>
    <col min="1025" max="1025" width="10.453125" style="449" customWidth="1"/>
    <col min="1026" max="1026" width="19.453125" style="449" customWidth="1"/>
    <col min="1027" max="1027" width="17.453125" style="449" customWidth="1"/>
    <col min="1028" max="1028" width="43.81640625" style="449" customWidth="1"/>
    <col min="1029" max="1029" width="10.453125" style="449" customWidth="1"/>
    <col min="1030" max="1030" width="13.453125" style="449" customWidth="1"/>
    <col min="1031" max="1032" width="21.453125" style="449" customWidth="1"/>
    <col min="1033" max="1034" width="22" style="449" customWidth="1"/>
    <col min="1035" max="1035" width="22.453125" style="449" bestFit="1" customWidth="1"/>
    <col min="1036" max="1036" width="22.453125" style="449" customWidth="1"/>
    <col min="1037" max="1037" width="22.81640625" style="449" bestFit="1" customWidth="1"/>
    <col min="1038" max="1038" width="22.81640625" style="449" customWidth="1"/>
    <col min="1039" max="1039" width="19.453125" style="449" customWidth="1"/>
    <col min="1040" max="1040" width="8.81640625" style="449"/>
    <col min="1041" max="1041" width="17.453125" style="449" bestFit="1" customWidth="1"/>
    <col min="1042" max="1042" width="16" style="449" customWidth="1"/>
    <col min="1043" max="1044" width="17.453125" style="449" customWidth="1"/>
    <col min="1045" max="1045" width="16.453125" style="449" customWidth="1"/>
    <col min="1046" max="1046" width="8.81640625" style="449"/>
    <col min="1047" max="1047" width="22.453125" style="449" bestFit="1" customWidth="1"/>
    <col min="1048" max="1048" width="22.1796875" style="449" bestFit="1" customWidth="1"/>
    <col min="1049" max="1050" width="17.453125" style="449" customWidth="1"/>
    <col min="1051" max="1051" width="18.1796875" style="449" customWidth="1"/>
    <col min="1052" max="1229" width="8.81640625" style="449"/>
    <col min="1230" max="1230" width="1.453125" style="449" customWidth="1"/>
    <col min="1231" max="1231" width="51.453125" style="449" customWidth="1"/>
    <col min="1232" max="1232" width="12.453125" style="449" customWidth="1"/>
    <col min="1233" max="1233" width="21.453125" style="449" bestFit="1" customWidth="1"/>
    <col min="1234" max="1234" width="12.453125" style="449" customWidth="1"/>
    <col min="1235" max="1235" width="14.453125" style="449" customWidth="1"/>
    <col min="1236" max="1236" width="15.1796875" style="449" customWidth="1"/>
    <col min="1237" max="1237" width="12.453125" style="449" bestFit="1" customWidth="1"/>
    <col min="1238" max="1238" width="13" style="449" customWidth="1"/>
    <col min="1239" max="1239" width="14.54296875" style="449" customWidth="1"/>
    <col min="1240" max="1240" width="44.453125" style="449" customWidth="1"/>
    <col min="1241" max="1241" width="34.54296875" style="449" customWidth="1"/>
    <col min="1242" max="1242" width="37.453125" style="449" customWidth="1"/>
    <col min="1243" max="1243" width="19.81640625" style="449" customWidth="1"/>
    <col min="1244" max="1268" width="8.81640625" style="449"/>
    <col min="1269" max="1269" width="9.54296875" style="449" customWidth="1"/>
    <col min="1270" max="1270" width="50.54296875" style="449" customWidth="1"/>
    <col min="1271" max="1271" width="14.81640625" style="449" customWidth="1"/>
    <col min="1272" max="1272" width="15.54296875" style="449" customWidth="1"/>
    <col min="1273" max="1273" width="8.54296875" style="449" bestFit="1" customWidth="1"/>
    <col min="1274" max="1274" width="21.1796875" style="449" customWidth="1"/>
    <col min="1275" max="1275" width="10.453125" style="449" customWidth="1"/>
    <col min="1276" max="1276" width="17.453125" style="449" customWidth="1"/>
    <col min="1277" max="1277" width="11.1796875" style="449" customWidth="1"/>
    <col min="1278" max="1278" width="17.453125" style="449" customWidth="1"/>
    <col min="1279" max="1279" width="9.453125" style="449" customWidth="1"/>
    <col min="1280" max="1280" width="17.453125" style="449" customWidth="1"/>
    <col min="1281" max="1281" width="10.453125" style="449" customWidth="1"/>
    <col min="1282" max="1282" width="19.453125" style="449" customWidth="1"/>
    <col min="1283" max="1283" width="17.453125" style="449" customWidth="1"/>
    <col min="1284" max="1284" width="43.81640625" style="449" customWidth="1"/>
    <col min="1285" max="1285" width="10.453125" style="449" customWidth="1"/>
    <col min="1286" max="1286" width="13.453125" style="449" customWidth="1"/>
    <col min="1287" max="1288" width="21.453125" style="449" customWidth="1"/>
    <col min="1289" max="1290" width="22" style="449" customWidth="1"/>
    <col min="1291" max="1291" width="22.453125" style="449" bestFit="1" customWidth="1"/>
    <col min="1292" max="1292" width="22.453125" style="449" customWidth="1"/>
    <col min="1293" max="1293" width="22.81640625" style="449" bestFit="1" customWidth="1"/>
    <col min="1294" max="1294" width="22.81640625" style="449" customWidth="1"/>
    <col min="1295" max="1295" width="19.453125" style="449" customWidth="1"/>
    <col min="1296" max="1296" width="8.81640625" style="449"/>
    <col min="1297" max="1297" width="17.453125" style="449" bestFit="1" customWidth="1"/>
    <col min="1298" max="1298" width="16" style="449" customWidth="1"/>
    <col min="1299" max="1300" width="17.453125" style="449" customWidth="1"/>
    <col min="1301" max="1301" width="16.453125" style="449" customWidth="1"/>
    <col min="1302" max="1302" width="8.81640625" style="449"/>
    <col min="1303" max="1303" width="22.453125" style="449" bestFit="1" customWidth="1"/>
    <col min="1304" max="1304" width="22.1796875" style="449" bestFit="1" customWidth="1"/>
    <col min="1305" max="1306" width="17.453125" style="449" customWidth="1"/>
    <col min="1307" max="1307" width="18.1796875" style="449" customWidth="1"/>
    <col min="1308" max="1485" width="8.81640625" style="449"/>
    <col min="1486" max="1486" width="1.453125" style="449" customWidth="1"/>
    <col min="1487" max="1487" width="51.453125" style="449" customWidth="1"/>
    <col min="1488" max="1488" width="12.453125" style="449" customWidth="1"/>
    <col min="1489" max="1489" width="21.453125" style="449" bestFit="1" customWidth="1"/>
    <col min="1490" max="1490" width="12.453125" style="449" customWidth="1"/>
    <col min="1491" max="1491" width="14.453125" style="449" customWidth="1"/>
    <col min="1492" max="1492" width="15.1796875" style="449" customWidth="1"/>
    <col min="1493" max="1493" width="12.453125" style="449" bestFit="1" customWidth="1"/>
    <col min="1494" max="1494" width="13" style="449" customWidth="1"/>
    <col min="1495" max="1495" width="14.54296875" style="449" customWidth="1"/>
    <col min="1496" max="1496" width="44.453125" style="449" customWidth="1"/>
    <col min="1497" max="1497" width="34.54296875" style="449" customWidth="1"/>
    <col min="1498" max="1498" width="37.453125" style="449" customWidth="1"/>
    <col min="1499" max="1499" width="19.81640625" style="449" customWidth="1"/>
    <col min="1500" max="1524" width="8.81640625" style="449"/>
    <col min="1525" max="1525" width="9.54296875" style="449" customWidth="1"/>
    <col min="1526" max="1526" width="50.54296875" style="449" customWidth="1"/>
    <col min="1527" max="1527" width="14.81640625" style="449" customWidth="1"/>
    <col min="1528" max="1528" width="15.54296875" style="449" customWidth="1"/>
    <col min="1529" max="1529" width="8.54296875" style="449" bestFit="1" customWidth="1"/>
    <col min="1530" max="1530" width="21.1796875" style="449" customWidth="1"/>
    <col min="1531" max="1531" width="10.453125" style="449" customWidth="1"/>
    <col min="1532" max="1532" width="17.453125" style="449" customWidth="1"/>
    <col min="1533" max="1533" width="11.1796875" style="449" customWidth="1"/>
    <col min="1534" max="1534" width="17.453125" style="449" customWidth="1"/>
    <col min="1535" max="1535" width="9.453125" style="449" customWidth="1"/>
    <col min="1536" max="1536" width="17.453125" style="449" customWidth="1"/>
    <col min="1537" max="1537" width="10.453125" style="449" customWidth="1"/>
    <col min="1538" max="1538" width="19.453125" style="449" customWidth="1"/>
    <col min="1539" max="1539" width="17.453125" style="449" customWidth="1"/>
    <col min="1540" max="1540" width="43.81640625" style="449" customWidth="1"/>
    <col min="1541" max="1541" width="10.453125" style="449" customWidth="1"/>
    <col min="1542" max="1542" width="13.453125" style="449" customWidth="1"/>
    <col min="1543" max="1544" width="21.453125" style="449" customWidth="1"/>
    <col min="1545" max="1546" width="22" style="449" customWidth="1"/>
    <col min="1547" max="1547" width="22.453125" style="449" bestFit="1" customWidth="1"/>
    <col min="1548" max="1548" width="22.453125" style="449" customWidth="1"/>
    <col min="1549" max="1549" width="22.81640625" style="449" bestFit="1" customWidth="1"/>
    <col min="1550" max="1550" width="22.81640625" style="449" customWidth="1"/>
    <col min="1551" max="1551" width="19.453125" style="449" customWidth="1"/>
    <col min="1552" max="1552" width="8.81640625" style="449"/>
    <col min="1553" max="1553" width="17.453125" style="449" bestFit="1" customWidth="1"/>
    <col min="1554" max="1554" width="16" style="449" customWidth="1"/>
    <col min="1555" max="1556" width="17.453125" style="449" customWidth="1"/>
    <col min="1557" max="1557" width="16.453125" style="449" customWidth="1"/>
    <col min="1558" max="1558" width="8.81640625" style="449"/>
    <col min="1559" max="1559" width="22.453125" style="449" bestFit="1" customWidth="1"/>
    <col min="1560" max="1560" width="22.1796875" style="449" bestFit="1" customWidth="1"/>
    <col min="1561" max="1562" width="17.453125" style="449" customWidth="1"/>
    <col min="1563" max="1563" width="18.1796875" style="449" customWidth="1"/>
    <col min="1564" max="1741" width="8.81640625" style="449"/>
    <col min="1742" max="1742" width="1.453125" style="449" customWidth="1"/>
    <col min="1743" max="1743" width="51.453125" style="449" customWidth="1"/>
    <col min="1744" max="1744" width="12.453125" style="449" customWidth="1"/>
    <col min="1745" max="1745" width="21.453125" style="449" bestFit="1" customWidth="1"/>
    <col min="1746" max="1746" width="12.453125" style="449" customWidth="1"/>
    <col min="1747" max="1747" width="14.453125" style="449" customWidth="1"/>
    <col min="1748" max="1748" width="15.1796875" style="449" customWidth="1"/>
    <col min="1749" max="1749" width="12.453125" style="449" bestFit="1" customWidth="1"/>
    <col min="1750" max="1750" width="13" style="449" customWidth="1"/>
    <col min="1751" max="1751" width="14.54296875" style="449" customWidth="1"/>
    <col min="1752" max="1752" width="44.453125" style="449" customWidth="1"/>
    <col min="1753" max="1753" width="34.54296875" style="449" customWidth="1"/>
    <col min="1754" max="1754" width="37.453125" style="449" customWidth="1"/>
    <col min="1755" max="1755" width="19.81640625" style="449" customWidth="1"/>
    <col min="1756" max="1780" width="8.81640625" style="449"/>
    <col min="1781" max="1781" width="9.54296875" style="449" customWidth="1"/>
    <col min="1782" max="1782" width="50.54296875" style="449" customWidth="1"/>
    <col min="1783" max="1783" width="14.81640625" style="449" customWidth="1"/>
    <col min="1784" max="1784" width="15.54296875" style="449" customWidth="1"/>
    <col min="1785" max="1785" width="8.54296875" style="449" bestFit="1" customWidth="1"/>
    <col min="1786" max="1786" width="21.1796875" style="449" customWidth="1"/>
    <col min="1787" max="1787" width="10.453125" style="449" customWidth="1"/>
    <col min="1788" max="1788" width="17.453125" style="449" customWidth="1"/>
    <col min="1789" max="1789" width="11.1796875" style="449" customWidth="1"/>
    <col min="1790" max="1790" width="17.453125" style="449" customWidth="1"/>
    <col min="1791" max="1791" width="9.453125" style="449" customWidth="1"/>
    <col min="1792" max="1792" width="17.453125" style="449" customWidth="1"/>
    <col min="1793" max="1793" width="10.453125" style="449" customWidth="1"/>
    <col min="1794" max="1794" width="19.453125" style="449" customWidth="1"/>
    <col min="1795" max="1795" width="17.453125" style="449" customWidth="1"/>
    <col min="1796" max="1796" width="43.81640625" style="449" customWidth="1"/>
    <col min="1797" max="1797" width="10.453125" style="449" customWidth="1"/>
    <col min="1798" max="1798" width="13.453125" style="449" customWidth="1"/>
    <col min="1799" max="1800" width="21.453125" style="449" customWidth="1"/>
    <col min="1801" max="1802" width="22" style="449" customWidth="1"/>
    <col min="1803" max="1803" width="22.453125" style="449" bestFit="1" customWidth="1"/>
    <col min="1804" max="1804" width="22.453125" style="449" customWidth="1"/>
    <col min="1805" max="1805" width="22.81640625" style="449" bestFit="1" customWidth="1"/>
    <col min="1806" max="1806" width="22.81640625" style="449" customWidth="1"/>
    <col min="1807" max="1807" width="19.453125" style="449" customWidth="1"/>
    <col min="1808" max="1808" width="8.81640625" style="449"/>
    <col min="1809" max="1809" width="17.453125" style="449" bestFit="1" customWidth="1"/>
    <col min="1810" max="1810" width="16" style="449" customWidth="1"/>
    <col min="1811" max="1812" width="17.453125" style="449" customWidth="1"/>
    <col min="1813" max="1813" width="16.453125" style="449" customWidth="1"/>
    <col min="1814" max="1814" width="8.81640625" style="449"/>
    <col min="1815" max="1815" width="22.453125" style="449" bestFit="1" customWidth="1"/>
    <col min="1816" max="1816" width="22.1796875" style="449" bestFit="1" customWidth="1"/>
    <col min="1817" max="1818" width="17.453125" style="449" customWidth="1"/>
    <col min="1819" max="1819" width="18.1796875" style="449" customWidth="1"/>
    <col min="1820" max="1997" width="8.81640625" style="449"/>
    <col min="1998" max="1998" width="1.453125" style="449" customWidth="1"/>
    <col min="1999" max="1999" width="51.453125" style="449" customWidth="1"/>
    <col min="2000" max="2000" width="12.453125" style="449" customWidth="1"/>
    <col min="2001" max="2001" width="21.453125" style="449" bestFit="1" customWidth="1"/>
    <col min="2002" max="2002" width="12.453125" style="449" customWidth="1"/>
    <col min="2003" max="2003" width="14.453125" style="449" customWidth="1"/>
    <col min="2004" max="2004" width="15.1796875" style="449" customWidth="1"/>
    <col min="2005" max="2005" width="12.453125" style="449" bestFit="1" customWidth="1"/>
    <col min="2006" max="2006" width="13" style="449" customWidth="1"/>
    <col min="2007" max="2007" width="14.54296875" style="449" customWidth="1"/>
    <col min="2008" max="2008" width="44.453125" style="449" customWidth="1"/>
    <col min="2009" max="2009" width="34.54296875" style="449" customWidth="1"/>
    <col min="2010" max="2010" width="37.453125" style="449" customWidth="1"/>
    <col min="2011" max="2011" width="19.81640625" style="449" customWidth="1"/>
    <col min="2012" max="2036" width="8.81640625" style="449"/>
    <col min="2037" max="2037" width="9.54296875" style="449" customWidth="1"/>
    <col min="2038" max="2038" width="50.54296875" style="449" customWidth="1"/>
    <col min="2039" max="2039" width="14.81640625" style="449" customWidth="1"/>
    <col min="2040" max="2040" width="15.54296875" style="449" customWidth="1"/>
    <col min="2041" max="2041" width="8.54296875" style="449" bestFit="1" customWidth="1"/>
    <col min="2042" max="2042" width="21.1796875" style="449" customWidth="1"/>
    <col min="2043" max="2043" width="10.453125" style="449" customWidth="1"/>
    <col min="2044" max="2044" width="17.453125" style="449" customWidth="1"/>
    <col min="2045" max="2045" width="11.1796875" style="449" customWidth="1"/>
    <col min="2046" max="2046" width="17.453125" style="449" customWidth="1"/>
    <col min="2047" max="2047" width="9.453125" style="449" customWidth="1"/>
    <col min="2048" max="2048" width="17.453125" style="449" customWidth="1"/>
    <col min="2049" max="2049" width="10.453125" style="449" customWidth="1"/>
    <col min="2050" max="2050" width="19.453125" style="449" customWidth="1"/>
    <col min="2051" max="2051" width="17.453125" style="449" customWidth="1"/>
    <col min="2052" max="2052" width="43.81640625" style="449" customWidth="1"/>
    <col min="2053" max="2053" width="10.453125" style="449" customWidth="1"/>
    <col min="2054" max="2054" width="13.453125" style="449" customWidth="1"/>
    <col min="2055" max="2056" width="21.453125" style="449" customWidth="1"/>
    <col min="2057" max="2058" width="22" style="449" customWidth="1"/>
    <col min="2059" max="2059" width="22.453125" style="449" bestFit="1" customWidth="1"/>
    <col min="2060" max="2060" width="22.453125" style="449" customWidth="1"/>
    <col min="2061" max="2061" width="22.81640625" style="449" bestFit="1" customWidth="1"/>
    <col min="2062" max="2062" width="22.81640625" style="449" customWidth="1"/>
    <col min="2063" max="2063" width="19.453125" style="449" customWidth="1"/>
    <col min="2064" max="2064" width="8.81640625" style="449"/>
    <col min="2065" max="2065" width="17.453125" style="449" bestFit="1" customWidth="1"/>
    <col min="2066" max="2066" width="16" style="449" customWidth="1"/>
    <col min="2067" max="2068" width="17.453125" style="449" customWidth="1"/>
    <col min="2069" max="2069" width="16.453125" style="449" customWidth="1"/>
    <col min="2070" max="2070" width="8.81640625" style="449"/>
    <col min="2071" max="2071" width="22.453125" style="449" bestFit="1" customWidth="1"/>
    <col min="2072" max="2072" width="22.1796875" style="449" bestFit="1" customWidth="1"/>
    <col min="2073" max="2074" width="17.453125" style="449" customWidth="1"/>
    <col min="2075" max="2075" width="18.1796875" style="449" customWidth="1"/>
    <col min="2076" max="2253" width="8.81640625" style="449"/>
    <col min="2254" max="2254" width="1.453125" style="449" customWidth="1"/>
    <col min="2255" max="2255" width="51.453125" style="449" customWidth="1"/>
    <col min="2256" max="2256" width="12.453125" style="449" customWidth="1"/>
    <col min="2257" max="2257" width="21.453125" style="449" bestFit="1" customWidth="1"/>
    <col min="2258" max="2258" width="12.453125" style="449" customWidth="1"/>
    <col min="2259" max="2259" width="14.453125" style="449" customWidth="1"/>
    <col min="2260" max="2260" width="15.1796875" style="449" customWidth="1"/>
    <col min="2261" max="2261" width="12.453125" style="449" bestFit="1" customWidth="1"/>
    <col min="2262" max="2262" width="13" style="449" customWidth="1"/>
    <col min="2263" max="2263" width="14.54296875" style="449" customWidth="1"/>
    <col min="2264" max="2264" width="44.453125" style="449" customWidth="1"/>
    <col min="2265" max="2265" width="34.54296875" style="449" customWidth="1"/>
    <col min="2266" max="2266" width="37.453125" style="449" customWidth="1"/>
    <col min="2267" max="2267" width="19.81640625" style="449" customWidth="1"/>
    <col min="2268" max="2292" width="8.81640625" style="449"/>
    <col min="2293" max="2293" width="9.54296875" style="449" customWidth="1"/>
    <col min="2294" max="2294" width="50.54296875" style="449" customWidth="1"/>
    <col min="2295" max="2295" width="14.81640625" style="449" customWidth="1"/>
    <col min="2296" max="2296" width="15.54296875" style="449" customWidth="1"/>
    <col min="2297" max="2297" width="8.54296875" style="449" bestFit="1" customWidth="1"/>
    <col min="2298" max="2298" width="21.1796875" style="449" customWidth="1"/>
    <col min="2299" max="2299" width="10.453125" style="449" customWidth="1"/>
    <col min="2300" max="2300" width="17.453125" style="449" customWidth="1"/>
    <col min="2301" max="2301" width="11.1796875" style="449" customWidth="1"/>
    <col min="2302" max="2302" width="17.453125" style="449" customWidth="1"/>
    <col min="2303" max="2303" width="9.453125" style="449" customWidth="1"/>
    <col min="2304" max="2304" width="17.453125" style="449" customWidth="1"/>
    <col min="2305" max="2305" width="10.453125" style="449" customWidth="1"/>
    <col min="2306" max="2306" width="19.453125" style="449" customWidth="1"/>
    <col min="2307" max="2307" width="17.453125" style="449" customWidth="1"/>
    <col min="2308" max="2308" width="43.81640625" style="449" customWidth="1"/>
    <col min="2309" max="2309" width="10.453125" style="449" customWidth="1"/>
    <col min="2310" max="2310" width="13.453125" style="449" customWidth="1"/>
    <col min="2311" max="2312" width="21.453125" style="449" customWidth="1"/>
    <col min="2313" max="2314" width="22" style="449" customWidth="1"/>
    <col min="2315" max="2315" width="22.453125" style="449" bestFit="1" customWidth="1"/>
    <col min="2316" max="2316" width="22.453125" style="449" customWidth="1"/>
    <col min="2317" max="2317" width="22.81640625" style="449" bestFit="1" customWidth="1"/>
    <col min="2318" max="2318" width="22.81640625" style="449" customWidth="1"/>
    <col min="2319" max="2319" width="19.453125" style="449" customWidth="1"/>
    <col min="2320" max="2320" width="8.81640625" style="449"/>
    <col min="2321" max="2321" width="17.453125" style="449" bestFit="1" customWidth="1"/>
    <col min="2322" max="2322" width="16" style="449" customWidth="1"/>
    <col min="2323" max="2324" width="17.453125" style="449" customWidth="1"/>
    <col min="2325" max="2325" width="16.453125" style="449" customWidth="1"/>
    <col min="2326" max="2326" width="8.81640625" style="449"/>
    <col min="2327" max="2327" width="22.453125" style="449" bestFit="1" customWidth="1"/>
    <col min="2328" max="2328" width="22.1796875" style="449" bestFit="1" customWidth="1"/>
    <col min="2329" max="2330" width="17.453125" style="449" customWidth="1"/>
    <col min="2331" max="2331" width="18.1796875" style="449" customWidth="1"/>
    <col min="2332" max="2509" width="8.81640625" style="449"/>
    <col min="2510" max="2510" width="1.453125" style="449" customWidth="1"/>
    <col min="2511" max="2511" width="51.453125" style="449" customWidth="1"/>
    <col min="2512" max="2512" width="12.453125" style="449" customWidth="1"/>
    <col min="2513" max="2513" width="21.453125" style="449" bestFit="1" customWidth="1"/>
    <col min="2514" max="2514" width="12.453125" style="449" customWidth="1"/>
    <col min="2515" max="2515" width="14.453125" style="449" customWidth="1"/>
    <col min="2516" max="2516" width="15.1796875" style="449" customWidth="1"/>
    <col min="2517" max="2517" width="12.453125" style="449" bestFit="1" customWidth="1"/>
    <col min="2518" max="2518" width="13" style="449" customWidth="1"/>
    <col min="2519" max="2519" width="14.54296875" style="449" customWidth="1"/>
    <col min="2520" max="2520" width="44.453125" style="449" customWidth="1"/>
    <col min="2521" max="2521" width="34.54296875" style="449" customWidth="1"/>
    <col min="2522" max="2522" width="37.453125" style="449" customWidth="1"/>
    <col min="2523" max="2523" width="19.81640625" style="449" customWidth="1"/>
    <col min="2524" max="2548" width="8.81640625" style="449"/>
    <col min="2549" max="2549" width="9.54296875" style="449" customWidth="1"/>
    <col min="2550" max="2550" width="50.54296875" style="449" customWidth="1"/>
    <col min="2551" max="2551" width="14.81640625" style="449" customWidth="1"/>
    <col min="2552" max="2552" width="15.54296875" style="449" customWidth="1"/>
    <col min="2553" max="2553" width="8.54296875" style="449" bestFit="1" customWidth="1"/>
    <col min="2554" max="2554" width="21.1796875" style="449" customWidth="1"/>
    <col min="2555" max="2555" width="10.453125" style="449" customWidth="1"/>
    <col min="2556" max="2556" width="17.453125" style="449" customWidth="1"/>
    <col min="2557" max="2557" width="11.1796875" style="449" customWidth="1"/>
    <col min="2558" max="2558" width="17.453125" style="449" customWidth="1"/>
    <col min="2559" max="2559" width="9.453125" style="449" customWidth="1"/>
    <col min="2560" max="2560" width="17.453125" style="449" customWidth="1"/>
    <col min="2561" max="2561" width="10.453125" style="449" customWidth="1"/>
    <col min="2562" max="2562" width="19.453125" style="449" customWidth="1"/>
    <col min="2563" max="2563" width="17.453125" style="449" customWidth="1"/>
    <col min="2564" max="2564" width="43.81640625" style="449" customWidth="1"/>
    <col min="2565" max="2565" width="10.453125" style="449" customWidth="1"/>
    <col min="2566" max="2566" width="13.453125" style="449" customWidth="1"/>
    <col min="2567" max="2568" width="21.453125" style="449" customWidth="1"/>
    <col min="2569" max="2570" width="22" style="449" customWidth="1"/>
    <col min="2571" max="2571" width="22.453125" style="449" bestFit="1" customWidth="1"/>
    <col min="2572" max="2572" width="22.453125" style="449" customWidth="1"/>
    <col min="2573" max="2573" width="22.81640625" style="449" bestFit="1" customWidth="1"/>
    <col min="2574" max="2574" width="22.81640625" style="449" customWidth="1"/>
    <col min="2575" max="2575" width="19.453125" style="449" customWidth="1"/>
    <col min="2576" max="2576" width="8.81640625" style="449"/>
    <col min="2577" max="2577" width="17.453125" style="449" bestFit="1" customWidth="1"/>
    <col min="2578" max="2578" width="16" style="449" customWidth="1"/>
    <col min="2579" max="2580" width="17.453125" style="449" customWidth="1"/>
    <col min="2581" max="2581" width="16.453125" style="449" customWidth="1"/>
    <col min="2582" max="2582" width="8.81640625" style="449"/>
    <col min="2583" max="2583" width="22.453125" style="449" bestFit="1" customWidth="1"/>
    <col min="2584" max="2584" width="22.1796875" style="449" bestFit="1" customWidth="1"/>
    <col min="2585" max="2586" width="17.453125" style="449" customWidth="1"/>
    <col min="2587" max="2587" width="18.1796875" style="449" customWidth="1"/>
    <col min="2588" max="2765" width="8.81640625" style="449"/>
    <col min="2766" max="2766" width="1.453125" style="449" customWidth="1"/>
    <col min="2767" max="2767" width="51.453125" style="449" customWidth="1"/>
    <col min="2768" max="2768" width="12.453125" style="449" customWidth="1"/>
    <col min="2769" max="2769" width="21.453125" style="449" bestFit="1" customWidth="1"/>
    <col min="2770" max="2770" width="12.453125" style="449" customWidth="1"/>
    <col min="2771" max="2771" width="14.453125" style="449" customWidth="1"/>
    <col min="2772" max="2772" width="15.1796875" style="449" customWidth="1"/>
    <col min="2773" max="2773" width="12.453125" style="449" bestFit="1" customWidth="1"/>
    <col min="2774" max="2774" width="13" style="449" customWidth="1"/>
    <col min="2775" max="2775" width="14.54296875" style="449" customWidth="1"/>
    <col min="2776" max="2776" width="44.453125" style="449" customWidth="1"/>
    <col min="2777" max="2777" width="34.54296875" style="449" customWidth="1"/>
    <col min="2778" max="2778" width="37.453125" style="449" customWidth="1"/>
    <col min="2779" max="2779" width="19.81640625" style="449" customWidth="1"/>
    <col min="2780" max="2804" width="8.81640625" style="449"/>
    <col min="2805" max="2805" width="9.54296875" style="449" customWidth="1"/>
    <col min="2806" max="2806" width="50.54296875" style="449" customWidth="1"/>
    <col min="2807" max="2807" width="14.81640625" style="449" customWidth="1"/>
    <col min="2808" max="2808" width="15.54296875" style="449" customWidth="1"/>
    <col min="2809" max="2809" width="8.54296875" style="449" bestFit="1" customWidth="1"/>
    <col min="2810" max="2810" width="21.1796875" style="449" customWidth="1"/>
    <col min="2811" max="2811" width="10.453125" style="449" customWidth="1"/>
    <col min="2812" max="2812" width="17.453125" style="449" customWidth="1"/>
    <col min="2813" max="2813" width="11.1796875" style="449" customWidth="1"/>
    <col min="2814" max="2814" width="17.453125" style="449" customWidth="1"/>
    <col min="2815" max="2815" width="9.453125" style="449" customWidth="1"/>
    <col min="2816" max="2816" width="17.453125" style="449" customWidth="1"/>
    <col min="2817" max="2817" width="10.453125" style="449" customWidth="1"/>
    <col min="2818" max="2818" width="19.453125" style="449" customWidth="1"/>
    <col min="2819" max="2819" width="17.453125" style="449" customWidth="1"/>
    <col min="2820" max="2820" width="43.81640625" style="449" customWidth="1"/>
    <col min="2821" max="2821" width="10.453125" style="449" customWidth="1"/>
    <col min="2822" max="2822" width="13.453125" style="449" customWidth="1"/>
    <col min="2823" max="2824" width="21.453125" style="449" customWidth="1"/>
    <col min="2825" max="2826" width="22" style="449" customWidth="1"/>
    <col min="2827" max="2827" width="22.453125" style="449" bestFit="1" customWidth="1"/>
    <col min="2828" max="2828" width="22.453125" style="449" customWidth="1"/>
    <col min="2829" max="2829" width="22.81640625" style="449" bestFit="1" customWidth="1"/>
    <col min="2830" max="2830" width="22.81640625" style="449" customWidth="1"/>
    <col min="2831" max="2831" width="19.453125" style="449" customWidth="1"/>
    <col min="2832" max="2832" width="8.81640625" style="449"/>
    <col min="2833" max="2833" width="17.453125" style="449" bestFit="1" customWidth="1"/>
    <col min="2834" max="2834" width="16" style="449" customWidth="1"/>
    <col min="2835" max="2836" width="17.453125" style="449" customWidth="1"/>
    <col min="2837" max="2837" width="16.453125" style="449" customWidth="1"/>
    <col min="2838" max="2838" width="8.81640625" style="449"/>
    <col min="2839" max="2839" width="22.453125" style="449" bestFit="1" customWidth="1"/>
    <col min="2840" max="2840" width="22.1796875" style="449" bestFit="1" customWidth="1"/>
    <col min="2841" max="2842" width="17.453125" style="449" customWidth="1"/>
    <col min="2843" max="2843" width="18.1796875" style="449" customWidth="1"/>
    <col min="2844" max="3021" width="8.81640625" style="449"/>
    <col min="3022" max="3022" width="1.453125" style="449" customWidth="1"/>
    <col min="3023" max="3023" width="51.453125" style="449" customWidth="1"/>
    <col min="3024" max="3024" width="12.453125" style="449" customWidth="1"/>
    <col min="3025" max="3025" width="21.453125" style="449" bestFit="1" customWidth="1"/>
    <col min="3026" max="3026" width="12.453125" style="449" customWidth="1"/>
    <col min="3027" max="3027" width="14.453125" style="449" customWidth="1"/>
    <col min="3028" max="3028" width="15.1796875" style="449" customWidth="1"/>
    <col min="3029" max="3029" width="12.453125" style="449" bestFit="1" customWidth="1"/>
    <col min="3030" max="3030" width="13" style="449" customWidth="1"/>
    <col min="3031" max="3031" width="14.54296875" style="449" customWidth="1"/>
    <col min="3032" max="3032" width="44.453125" style="449" customWidth="1"/>
    <col min="3033" max="3033" width="34.54296875" style="449" customWidth="1"/>
    <col min="3034" max="3034" width="37.453125" style="449" customWidth="1"/>
    <col min="3035" max="3035" width="19.81640625" style="449" customWidth="1"/>
    <col min="3036" max="3060" width="8.81640625" style="449"/>
    <col min="3061" max="3061" width="9.54296875" style="449" customWidth="1"/>
    <col min="3062" max="3062" width="50.54296875" style="449" customWidth="1"/>
    <col min="3063" max="3063" width="14.81640625" style="449" customWidth="1"/>
    <col min="3064" max="3064" width="15.54296875" style="449" customWidth="1"/>
    <col min="3065" max="3065" width="8.54296875" style="449" bestFit="1" customWidth="1"/>
    <col min="3066" max="3066" width="21.1796875" style="449" customWidth="1"/>
    <col min="3067" max="3067" width="10.453125" style="449" customWidth="1"/>
    <col min="3068" max="3068" width="17.453125" style="449" customWidth="1"/>
    <col min="3069" max="3069" width="11.1796875" style="449" customWidth="1"/>
    <col min="3070" max="3070" width="17.453125" style="449" customWidth="1"/>
    <col min="3071" max="3071" width="9.453125" style="449" customWidth="1"/>
    <col min="3072" max="3072" width="17.453125" style="449" customWidth="1"/>
    <col min="3073" max="3073" width="10.453125" style="449" customWidth="1"/>
    <col min="3074" max="3074" width="19.453125" style="449" customWidth="1"/>
    <col min="3075" max="3075" width="17.453125" style="449" customWidth="1"/>
    <col min="3076" max="3076" width="43.81640625" style="449" customWidth="1"/>
    <col min="3077" max="3077" width="10.453125" style="449" customWidth="1"/>
    <col min="3078" max="3078" width="13.453125" style="449" customWidth="1"/>
    <col min="3079" max="3080" width="21.453125" style="449" customWidth="1"/>
    <col min="3081" max="3082" width="22" style="449" customWidth="1"/>
    <col min="3083" max="3083" width="22.453125" style="449" bestFit="1" customWidth="1"/>
    <col min="3084" max="3084" width="22.453125" style="449" customWidth="1"/>
    <col min="3085" max="3085" width="22.81640625" style="449" bestFit="1" customWidth="1"/>
    <col min="3086" max="3086" width="22.81640625" style="449" customWidth="1"/>
    <col min="3087" max="3087" width="19.453125" style="449" customWidth="1"/>
    <col min="3088" max="3088" width="8.81640625" style="449"/>
    <col min="3089" max="3089" width="17.453125" style="449" bestFit="1" customWidth="1"/>
    <col min="3090" max="3090" width="16" style="449" customWidth="1"/>
    <col min="3091" max="3092" width="17.453125" style="449" customWidth="1"/>
    <col min="3093" max="3093" width="16.453125" style="449" customWidth="1"/>
    <col min="3094" max="3094" width="8.81640625" style="449"/>
    <col min="3095" max="3095" width="22.453125" style="449" bestFit="1" customWidth="1"/>
    <col min="3096" max="3096" width="22.1796875" style="449" bestFit="1" customWidth="1"/>
    <col min="3097" max="3098" width="17.453125" style="449" customWidth="1"/>
    <col min="3099" max="3099" width="18.1796875" style="449" customWidth="1"/>
    <col min="3100" max="3277" width="8.81640625" style="449"/>
    <col min="3278" max="3278" width="1.453125" style="449" customWidth="1"/>
    <col min="3279" max="3279" width="51.453125" style="449" customWidth="1"/>
    <col min="3280" max="3280" width="12.453125" style="449" customWidth="1"/>
    <col min="3281" max="3281" width="21.453125" style="449" bestFit="1" customWidth="1"/>
    <col min="3282" max="3282" width="12.453125" style="449" customWidth="1"/>
    <col min="3283" max="3283" width="14.453125" style="449" customWidth="1"/>
    <col min="3284" max="3284" width="15.1796875" style="449" customWidth="1"/>
    <col min="3285" max="3285" width="12.453125" style="449" bestFit="1" customWidth="1"/>
    <col min="3286" max="3286" width="13" style="449" customWidth="1"/>
    <col min="3287" max="3287" width="14.54296875" style="449" customWidth="1"/>
    <col min="3288" max="3288" width="44.453125" style="449" customWidth="1"/>
    <col min="3289" max="3289" width="34.54296875" style="449" customWidth="1"/>
    <col min="3290" max="3290" width="37.453125" style="449" customWidth="1"/>
    <col min="3291" max="3291" width="19.81640625" style="449" customWidth="1"/>
    <col min="3292" max="3316" width="8.81640625" style="449"/>
    <col min="3317" max="3317" width="9.54296875" style="449" customWidth="1"/>
    <col min="3318" max="3318" width="50.54296875" style="449" customWidth="1"/>
    <col min="3319" max="3319" width="14.81640625" style="449" customWidth="1"/>
    <col min="3320" max="3320" width="15.54296875" style="449" customWidth="1"/>
    <col min="3321" max="3321" width="8.54296875" style="449" bestFit="1" customWidth="1"/>
    <col min="3322" max="3322" width="21.1796875" style="449" customWidth="1"/>
    <col min="3323" max="3323" width="10.453125" style="449" customWidth="1"/>
    <col min="3324" max="3324" width="17.453125" style="449" customWidth="1"/>
    <col min="3325" max="3325" width="11.1796875" style="449" customWidth="1"/>
    <col min="3326" max="3326" width="17.453125" style="449" customWidth="1"/>
    <col min="3327" max="3327" width="9.453125" style="449" customWidth="1"/>
    <col min="3328" max="3328" width="17.453125" style="449" customWidth="1"/>
    <col min="3329" max="3329" width="10.453125" style="449" customWidth="1"/>
    <col min="3330" max="3330" width="19.453125" style="449" customWidth="1"/>
    <col min="3331" max="3331" width="17.453125" style="449" customWidth="1"/>
    <col min="3332" max="3332" width="43.81640625" style="449" customWidth="1"/>
    <col min="3333" max="3333" width="10.453125" style="449" customWidth="1"/>
    <col min="3334" max="3334" width="13.453125" style="449" customWidth="1"/>
    <col min="3335" max="3336" width="21.453125" style="449" customWidth="1"/>
    <col min="3337" max="3338" width="22" style="449" customWidth="1"/>
    <col min="3339" max="3339" width="22.453125" style="449" bestFit="1" customWidth="1"/>
    <col min="3340" max="3340" width="22.453125" style="449" customWidth="1"/>
    <col min="3341" max="3341" width="22.81640625" style="449" bestFit="1" customWidth="1"/>
    <col min="3342" max="3342" width="22.81640625" style="449" customWidth="1"/>
    <col min="3343" max="3343" width="19.453125" style="449" customWidth="1"/>
    <col min="3344" max="3344" width="8.81640625" style="449"/>
    <col min="3345" max="3345" width="17.453125" style="449" bestFit="1" customWidth="1"/>
    <col min="3346" max="3346" width="16" style="449" customWidth="1"/>
    <col min="3347" max="3348" width="17.453125" style="449" customWidth="1"/>
    <col min="3349" max="3349" width="16.453125" style="449" customWidth="1"/>
    <col min="3350" max="3350" width="8.81640625" style="449"/>
    <col min="3351" max="3351" width="22.453125" style="449" bestFit="1" customWidth="1"/>
    <col min="3352" max="3352" width="22.1796875" style="449" bestFit="1" customWidth="1"/>
    <col min="3353" max="3354" width="17.453125" style="449" customWidth="1"/>
    <col min="3355" max="3355" width="18.1796875" style="449" customWidth="1"/>
    <col min="3356" max="3533" width="8.81640625" style="449"/>
    <col min="3534" max="3534" width="1.453125" style="449" customWidth="1"/>
    <col min="3535" max="3535" width="51.453125" style="449" customWidth="1"/>
    <col min="3536" max="3536" width="12.453125" style="449" customWidth="1"/>
    <col min="3537" max="3537" width="21.453125" style="449" bestFit="1" customWidth="1"/>
    <col min="3538" max="3538" width="12.453125" style="449" customWidth="1"/>
    <col min="3539" max="3539" width="14.453125" style="449" customWidth="1"/>
    <col min="3540" max="3540" width="15.1796875" style="449" customWidth="1"/>
    <col min="3541" max="3541" width="12.453125" style="449" bestFit="1" customWidth="1"/>
    <col min="3542" max="3542" width="13" style="449" customWidth="1"/>
    <col min="3543" max="3543" width="14.54296875" style="449" customWidth="1"/>
    <col min="3544" max="3544" width="44.453125" style="449" customWidth="1"/>
    <col min="3545" max="3545" width="34.54296875" style="449" customWidth="1"/>
    <col min="3546" max="3546" width="37.453125" style="449" customWidth="1"/>
    <col min="3547" max="3547" width="19.81640625" style="449" customWidth="1"/>
    <col min="3548" max="3572" width="8.81640625" style="449"/>
    <col min="3573" max="3573" width="9.54296875" style="449" customWidth="1"/>
    <col min="3574" max="3574" width="50.54296875" style="449" customWidth="1"/>
    <col min="3575" max="3575" width="14.81640625" style="449" customWidth="1"/>
    <col min="3576" max="3576" width="15.54296875" style="449" customWidth="1"/>
    <col min="3577" max="3577" width="8.54296875" style="449" bestFit="1" customWidth="1"/>
    <col min="3578" max="3578" width="21.1796875" style="449" customWidth="1"/>
    <col min="3579" max="3579" width="10.453125" style="449" customWidth="1"/>
    <col min="3580" max="3580" width="17.453125" style="449" customWidth="1"/>
    <col min="3581" max="3581" width="11.1796875" style="449" customWidth="1"/>
    <col min="3582" max="3582" width="17.453125" style="449" customWidth="1"/>
    <col min="3583" max="3583" width="9.453125" style="449" customWidth="1"/>
    <col min="3584" max="3584" width="17.453125" style="449" customWidth="1"/>
    <col min="3585" max="3585" width="10.453125" style="449" customWidth="1"/>
    <col min="3586" max="3586" width="19.453125" style="449" customWidth="1"/>
    <col min="3587" max="3587" width="17.453125" style="449" customWidth="1"/>
    <col min="3588" max="3588" width="43.81640625" style="449" customWidth="1"/>
    <col min="3589" max="3589" width="10.453125" style="449" customWidth="1"/>
    <col min="3590" max="3590" width="13.453125" style="449" customWidth="1"/>
    <col min="3591" max="3592" width="21.453125" style="449" customWidth="1"/>
    <col min="3593" max="3594" width="22" style="449" customWidth="1"/>
    <col min="3595" max="3595" width="22.453125" style="449" bestFit="1" customWidth="1"/>
    <col min="3596" max="3596" width="22.453125" style="449" customWidth="1"/>
    <col min="3597" max="3597" width="22.81640625" style="449" bestFit="1" customWidth="1"/>
    <col min="3598" max="3598" width="22.81640625" style="449" customWidth="1"/>
    <col min="3599" max="3599" width="19.453125" style="449" customWidth="1"/>
    <col min="3600" max="3600" width="8.81640625" style="449"/>
    <col min="3601" max="3601" width="17.453125" style="449" bestFit="1" customWidth="1"/>
    <col min="3602" max="3602" width="16" style="449" customWidth="1"/>
    <col min="3603" max="3604" width="17.453125" style="449" customWidth="1"/>
    <col min="3605" max="3605" width="16.453125" style="449" customWidth="1"/>
    <col min="3606" max="3606" width="8.81640625" style="449"/>
    <col min="3607" max="3607" width="22.453125" style="449" bestFit="1" customWidth="1"/>
    <col min="3608" max="3608" width="22.1796875" style="449" bestFit="1" customWidth="1"/>
    <col min="3609" max="3610" width="17.453125" style="449" customWidth="1"/>
    <col min="3611" max="3611" width="18.1796875" style="449" customWidth="1"/>
    <col min="3612" max="3789" width="8.81640625" style="449"/>
    <col min="3790" max="3790" width="1.453125" style="449" customWidth="1"/>
    <col min="3791" max="3791" width="51.453125" style="449" customWidth="1"/>
    <col min="3792" max="3792" width="12.453125" style="449" customWidth="1"/>
    <col min="3793" max="3793" width="21.453125" style="449" bestFit="1" customWidth="1"/>
    <col min="3794" max="3794" width="12.453125" style="449" customWidth="1"/>
    <col min="3795" max="3795" width="14.453125" style="449" customWidth="1"/>
    <col min="3796" max="3796" width="15.1796875" style="449" customWidth="1"/>
    <col min="3797" max="3797" width="12.453125" style="449" bestFit="1" customWidth="1"/>
    <col min="3798" max="3798" width="13" style="449" customWidth="1"/>
    <col min="3799" max="3799" width="14.54296875" style="449" customWidth="1"/>
    <col min="3800" max="3800" width="44.453125" style="449" customWidth="1"/>
    <col min="3801" max="3801" width="34.54296875" style="449" customWidth="1"/>
    <col min="3802" max="3802" width="37.453125" style="449" customWidth="1"/>
    <col min="3803" max="3803" width="19.81640625" style="449" customWidth="1"/>
    <col min="3804" max="3828" width="8.81640625" style="449"/>
    <col min="3829" max="3829" width="9.54296875" style="449" customWidth="1"/>
    <col min="3830" max="3830" width="50.54296875" style="449" customWidth="1"/>
    <col min="3831" max="3831" width="14.81640625" style="449" customWidth="1"/>
    <col min="3832" max="3832" width="15.54296875" style="449" customWidth="1"/>
    <col min="3833" max="3833" width="8.54296875" style="449" bestFit="1" customWidth="1"/>
    <col min="3834" max="3834" width="21.1796875" style="449" customWidth="1"/>
    <col min="3835" max="3835" width="10.453125" style="449" customWidth="1"/>
    <col min="3836" max="3836" width="17.453125" style="449" customWidth="1"/>
    <col min="3837" max="3837" width="11.1796875" style="449" customWidth="1"/>
    <col min="3838" max="3838" width="17.453125" style="449" customWidth="1"/>
    <col min="3839" max="3839" width="9.453125" style="449" customWidth="1"/>
    <col min="3840" max="3840" width="17.453125" style="449" customWidth="1"/>
    <col min="3841" max="3841" width="10.453125" style="449" customWidth="1"/>
    <col min="3842" max="3842" width="19.453125" style="449" customWidth="1"/>
    <col min="3843" max="3843" width="17.453125" style="449" customWidth="1"/>
    <col min="3844" max="3844" width="43.81640625" style="449" customWidth="1"/>
    <col min="3845" max="3845" width="10.453125" style="449" customWidth="1"/>
    <col min="3846" max="3846" width="13.453125" style="449" customWidth="1"/>
    <col min="3847" max="3848" width="21.453125" style="449" customWidth="1"/>
    <col min="3849" max="3850" width="22" style="449" customWidth="1"/>
    <col min="3851" max="3851" width="22.453125" style="449" bestFit="1" customWidth="1"/>
    <col min="3852" max="3852" width="22.453125" style="449" customWidth="1"/>
    <col min="3853" max="3853" width="22.81640625" style="449" bestFit="1" customWidth="1"/>
    <col min="3854" max="3854" width="22.81640625" style="449" customWidth="1"/>
    <col min="3855" max="3855" width="19.453125" style="449" customWidth="1"/>
    <col min="3856" max="3856" width="8.81640625" style="449"/>
    <col min="3857" max="3857" width="17.453125" style="449" bestFit="1" customWidth="1"/>
    <col min="3858" max="3858" width="16" style="449" customWidth="1"/>
    <col min="3859" max="3860" width="17.453125" style="449" customWidth="1"/>
    <col min="3861" max="3861" width="16.453125" style="449" customWidth="1"/>
    <col min="3862" max="3862" width="8.81640625" style="449"/>
    <col min="3863" max="3863" width="22.453125" style="449" bestFit="1" customWidth="1"/>
    <col min="3864" max="3864" width="22.1796875" style="449" bestFit="1" customWidth="1"/>
    <col min="3865" max="3866" width="17.453125" style="449" customWidth="1"/>
    <col min="3867" max="3867" width="18.1796875" style="449" customWidth="1"/>
    <col min="3868" max="4045" width="8.81640625" style="449"/>
    <col min="4046" max="4046" width="1.453125" style="449" customWidth="1"/>
    <col min="4047" max="4047" width="51.453125" style="449" customWidth="1"/>
    <col min="4048" max="4048" width="12.453125" style="449" customWidth="1"/>
    <col min="4049" max="4049" width="21.453125" style="449" bestFit="1" customWidth="1"/>
    <col min="4050" max="4050" width="12.453125" style="449" customWidth="1"/>
    <col min="4051" max="4051" width="14.453125" style="449" customWidth="1"/>
    <col min="4052" max="4052" width="15.1796875" style="449" customWidth="1"/>
    <col min="4053" max="4053" width="12.453125" style="449" bestFit="1" customWidth="1"/>
    <col min="4054" max="4054" width="13" style="449" customWidth="1"/>
    <col min="4055" max="4055" width="14.54296875" style="449" customWidth="1"/>
    <col min="4056" max="4056" width="44.453125" style="449" customWidth="1"/>
    <col min="4057" max="4057" width="34.54296875" style="449" customWidth="1"/>
    <col min="4058" max="4058" width="37.453125" style="449" customWidth="1"/>
    <col min="4059" max="4059" width="19.81640625" style="449" customWidth="1"/>
    <col min="4060" max="4084" width="8.81640625" style="449"/>
    <col min="4085" max="4085" width="9.54296875" style="449" customWidth="1"/>
    <col min="4086" max="4086" width="50.54296875" style="449" customWidth="1"/>
    <col min="4087" max="4087" width="14.81640625" style="449" customWidth="1"/>
    <col min="4088" max="4088" width="15.54296875" style="449" customWidth="1"/>
    <col min="4089" max="4089" width="8.54296875" style="449" bestFit="1" customWidth="1"/>
    <col min="4090" max="4090" width="21.1796875" style="449" customWidth="1"/>
    <col min="4091" max="4091" width="10.453125" style="449" customWidth="1"/>
    <col min="4092" max="4092" width="17.453125" style="449" customWidth="1"/>
    <col min="4093" max="4093" width="11.1796875" style="449" customWidth="1"/>
    <col min="4094" max="4094" width="17.453125" style="449" customWidth="1"/>
    <col min="4095" max="4095" width="9.453125" style="449" customWidth="1"/>
    <col min="4096" max="4096" width="17.453125" style="449" customWidth="1"/>
    <col min="4097" max="4097" width="10.453125" style="449" customWidth="1"/>
    <col min="4098" max="4098" width="19.453125" style="449" customWidth="1"/>
    <col min="4099" max="4099" width="17.453125" style="449" customWidth="1"/>
    <col min="4100" max="4100" width="43.81640625" style="449" customWidth="1"/>
    <col min="4101" max="4101" width="10.453125" style="449" customWidth="1"/>
    <col min="4102" max="4102" width="13.453125" style="449" customWidth="1"/>
    <col min="4103" max="4104" width="21.453125" style="449" customWidth="1"/>
    <col min="4105" max="4106" width="22" style="449" customWidth="1"/>
    <col min="4107" max="4107" width="22.453125" style="449" bestFit="1" customWidth="1"/>
    <col min="4108" max="4108" width="22.453125" style="449" customWidth="1"/>
    <col min="4109" max="4109" width="22.81640625" style="449" bestFit="1" customWidth="1"/>
    <col min="4110" max="4110" width="22.81640625" style="449" customWidth="1"/>
    <col min="4111" max="4111" width="19.453125" style="449" customWidth="1"/>
    <col min="4112" max="4112" width="8.81640625" style="449"/>
    <col min="4113" max="4113" width="17.453125" style="449" bestFit="1" customWidth="1"/>
    <col min="4114" max="4114" width="16" style="449" customWidth="1"/>
    <col min="4115" max="4116" width="17.453125" style="449" customWidth="1"/>
    <col min="4117" max="4117" width="16.453125" style="449" customWidth="1"/>
    <col min="4118" max="4118" width="8.81640625" style="449"/>
    <col min="4119" max="4119" width="22.453125" style="449" bestFit="1" customWidth="1"/>
    <col min="4120" max="4120" width="22.1796875" style="449" bestFit="1" customWidth="1"/>
    <col min="4121" max="4122" width="17.453125" style="449" customWidth="1"/>
    <col min="4123" max="4123" width="18.1796875" style="449" customWidth="1"/>
    <col min="4124" max="4301" width="8.81640625" style="449"/>
    <col min="4302" max="4302" width="1.453125" style="449" customWidth="1"/>
    <col min="4303" max="4303" width="51.453125" style="449" customWidth="1"/>
    <col min="4304" max="4304" width="12.453125" style="449" customWidth="1"/>
    <col min="4305" max="4305" width="21.453125" style="449" bestFit="1" customWidth="1"/>
    <col min="4306" max="4306" width="12.453125" style="449" customWidth="1"/>
    <col min="4307" max="4307" width="14.453125" style="449" customWidth="1"/>
    <col min="4308" max="4308" width="15.1796875" style="449" customWidth="1"/>
    <col min="4309" max="4309" width="12.453125" style="449" bestFit="1" customWidth="1"/>
    <col min="4310" max="4310" width="13" style="449" customWidth="1"/>
    <col min="4311" max="4311" width="14.54296875" style="449" customWidth="1"/>
    <col min="4312" max="4312" width="44.453125" style="449" customWidth="1"/>
    <col min="4313" max="4313" width="34.54296875" style="449" customWidth="1"/>
    <col min="4314" max="4314" width="37.453125" style="449" customWidth="1"/>
    <col min="4315" max="4315" width="19.81640625" style="449" customWidth="1"/>
    <col min="4316" max="4340" width="8.81640625" style="449"/>
    <col min="4341" max="4341" width="9.54296875" style="449" customWidth="1"/>
    <col min="4342" max="4342" width="50.54296875" style="449" customWidth="1"/>
    <col min="4343" max="4343" width="14.81640625" style="449" customWidth="1"/>
    <col min="4344" max="4344" width="15.54296875" style="449" customWidth="1"/>
    <col min="4345" max="4345" width="8.54296875" style="449" bestFit="1" customWidth="1"/>
    <col min="4346" max="4346" width="21.1796875" style="449" customWidth="1"/>
    <col min="4347" max="4347" width="10.453125" style="449" customWidth="1"/>
    <col min="4348" max="4348" width="17.453125" style="449" customWidth="1"/>
    <col min="4349" max="4349" width="11.1796875" style="449" customWidth="1"/>
    <col min="4350" max="4350" width="17.453125" style="449" customWidth="1"/>
    <col min="4351" max="4351" width="9.453125" style="449" customWidth="1"/>
    <col min="4352" max="4352" width="17.453125" style="449" customWidth="1"/>
    <col min="4353" max="4353" width="10.453125" style="449" customWidth="1"/>
    <col min="4354" max="4354" width="19.453125" style="449" customWidth="1"/>
    <col min="4355" max="4355" width="17.453125" style="449" customWidth="1"/>
    <col min="4356" max="4356" width="43.81640625" style="449" customWidth="1"/>
    <col min="4357" max="4357" width="10.453125" style="449" customWidth="1"/>
    <col min="4358" max="4358" width="13.453125" style="449" customWidth="1"/>
    <col min="4359" max="4360" width="21.453125" style="449" customWidth="1"/>
    <col min="4361" max="4362" width="22" style="449" customWidth="1"/>
    <col min="4363" max="4363" width="22.453125" style="449" bestFit="1" customWidth="1"/>
    <col min="4364" max="4364" width="22.453125" style="449" customWidth="1"/>
    <col min="4365" max="4365" width="22.81640625" style="449" bestFit="1" customWidth="1"/>
    <col min="4366" max="4366" width="22.81640625" style="449" customWidth="1"/>
    <col min="4367" max="4367" width="19.453125" style="449" customWidth="1"/>
    <col min="4368" max="4368" width="8.81640625" style="449"/>
    <col min="4369" max="4369" width="17.453125" style="449" bestFit="1" customWidth="1"/>
    <col min="4370" max="4370" width="16" style="449" customWidth="1"/>
    <col min="4371" max="4372" width="17.453125" style="449" customWidth="1"/>
    <col min="4373" max="4373" width="16.453125" style="449" customWidth="1"/>
    <col min="4374" max="4374" width="8.81640625" style="449"/>
    <col min="4375" max="4375" width="22.453125" style="449" bestFit="1" customWidth="1"/>
    <col min="4376" max="4376" width="22.1796875" style="449" bestFit="1" customWidth="1"/>
    <col min="4377" max="4378" width="17.453125" style="449" customWidth="1"/>
    <col min="4379" max="4379" width="18.1796875" style="449" customWidth="1"/>
    <col min="4380" max="4557" width="8.81640625" style="449"/>
    <col min="4558" max="4558" width="1.453125" style="449" customWidth="1"/>
    <col min="4559" max="4559" width="51.453125" style="449" customWidth="1"/>
    <col min="4560" max="4560" width="12.453125" style="449" customWidth="1"/>
    <col min="4561" max="4561" width="21.453125" style="449" bestFit="1" customWidth="1"/>
    <col min="4562" max="4562" width="12.453125" style="449" customWidth="1"/>
    <col min="4563" max="4563" width="14.453125" style="449" customWidth="1"/>
    <col min="4564" max="4564" width="15.1796875" style="449" customWidth="1"/>
    <col min="4565" max="4565" width="12.453125" style="449" bestFit="1" customWidth="1"/>
    <col min="4566" max="4566" width="13" style="449" customWidth="1"/>
    <col min="4567" max="4567" width="14.54296875" style="449" customWidth="1"/>
    <col min="4568" max="4568" width="44.453125" style="449" customWidth="1"/>
    <col min="4569" max="4569" width="34.54296875" style="449" customWidth="1"/>
    <col min="4570" max="4570" width="37.453125" style="449" customWidth="1"/>
    <col min="4571" max="4571" width="19.81640625" style="449" customWidth="1"/>
    <col min="4572" max="4596" width="8.81640625" style="449"/>
    <col min="4597" max="4597" width="9.54296875" style="449" customWidth="1"/>
    <col min="4598" max="4598" width="50.54296875" style="449" customWidth="1"/>
    <col min="4599" max="4599" width="14.81640625" style="449" customWidth="1"/>
    <col min="4600" max="4600" width="15.54296875" style="449" customWidth="1"/>
    <col min="4601" max="4601" width="8.54296875" style="449" bestFit="1" customWidth="1"/>
    <col min="4602" max="4602" width="21.1796875" style="449" customWidth="1"/>
    <col min="4603" max="4603" width="10.453125" style="449" customWidth="1"/>
    <col min="4604" max="4604" width="17.453125" style="449" customWidth="1"/>
    <col min="4605" max="4605" width="11.1796875" style="449" customWidth="1"/>
    <col min="4606" max="4606" width="17.453125" style="449" customWidth="1"/>
    <col min="4607" max="4607" width="9.453125" style="449" customWidth="1"/>
    <col min="4608" max="4608" width="17.453125" style="449" customWidth="1"/>
    <col min="4609" max="4609" width="10.453125" style="449" customWidth="1"/>
    <col min="4610" max="4610" width="19.453125" style="449" customWidth="1"/>
    <col min="4611" max="4611" width="17.453125" style="449" customWidth="1"/>
    <col min="4612" max="4612" width="43.81640625" style="449" customWidth="1"/>
    <col min="4613" max="4613" width="10.453125" style="449" customWidth="1"/>
    <col min="4614" max="4614" width="13.453125" style="449" customWidth="1"/>
    <col min="4615" max="4616" width="21.453125" style="449" customWidth="1"/>
    <col min="4617" max="4618" width="22" style="449" customWidth="1"/>
    <col min="4619" max="4619" width="22.453125" style="449" bestFit="1" customWidth="1"/>
    <col min="4620" max="4620" width="22.453125" style="449" customWidth="1"/>
    <col min="4621" max="4621" width="22.81640625" style="449" bestFit="1" customWidth="1"/>
    <col min="4622" max="4622" width="22.81640625" style="449" customWidth="1"/>
    <col min="4623" max="4623" width="19.453125" style="449" customWidth="1"/>
    <col min="4624" max="4624" width="8.81640625" style="449"/>
    <col min="4625" max="4625" width="17.453125" style="449" bestFit="1" customWidth="1"/>
    <col min="4626" max="4626" width="16" style="449" customWidth="1"/>
    <col min="4627" max="4628" width="17.453125" style="449" customWidth="1"/>
    <col min="4629" max="4629" width="16.453125" style="449" customWidth="1"/>
    <col min="4630" max="4630" width="8.81640625" style="449"/>
    <col min="4631" max="4631" width="22.453125" style="449" bestFit="1" customWidth="1"/>
    <col min="4632" max="4632" width="22.1796875" style="449" bestFit="1" customWidth="1"/>
    <col min="4633" max="4634" width="17.453125" style="449" customWidth="1"/>
    <col min="4635" max="4635" width="18.1796875" style="449" customWidth="1"/>
    <col min="4636" max="4813" width="8.81640625" style="449"/>
    <col min="4814" max="4814" width="1.453125" style="449" customWidth="1"/>
    <col min="4815" max="4815" width="51.453125" style="449" customWidth="1"/>
    <col min="4816" max="4816" width="12.453125" style="449" customWidth="1"/>
    <col min="4817" max="4817" width="21.453125" style="449" bestFit="1" customWidth="1"/>
    <col min="4818" max="4818" width="12.453125" style="449" customWidth="1"/>
    <col min="4819" max="4819" width="14.453125" style="449" customWidth="1"/>
    <col min="4820" max="4820" width="15.1796875" style="449" customWidth="1"/>
    <col min="4821" max="4821" width="12.453125" style="449" bestFit="1" customWidth="1"/>
    <col min="4822" max="4822" width="13" style="449" customWidth="1"/>
    <col min="4823" max="4823" width="14.54296875" style="449" customWidth="1"/>
    <col min="4824" max="4824" width="44.453125" style="449" customWidth="1"/>
    <col min="4825" max="4825" width="34.54296875" style="449" customWidth="1"/>
    <col min="4826" max="4826" width="37.453125" style="449" customWidth="1"/>
    <col min="4827" max="4827" width="19.81640625" style="449" customWidth="1"/>
    <col min="4828" max="4852" width="8.81640625" style="449"/>
    <col min="4853" max="4853" width="9.54296875" style="449" customWidth="1"/>
    <col min="4854" max="4854" width="50.54296875" style="449" customWidth="1"/>
    <col min="4855" max="4855" width="14.81640625" style="449" customWidth="1"/>
    <col min="4856" max="4856" width="15.54296875" style="449" customWidth="1"/>
    <col min="4857" max="4857" width="8.54296875" style="449" bestFit="1" customWidth="1"/>
    <col min="4858" max="4858" width="21.1796875" style="449" customWidth="1"/>
    <col min="4859" max="4859" width="10.453125" style="449" customWidth="1"/>
    <col min="4860" max="4860" width="17.453125" style="449" customWidth="1"/>
    <col min="4861" max="4861" width="11.1796875" style="449" customWidth="1"/>
    <col min="4862" max="4862" width="17.453125" style="449" customWidth="1"/>
    <col min="4863" max="4863" width="9.453125" style="449" customWidth="1"/>
    <col min="4864" max="4864" width="17.453125" style="449" customWidth="1"/>
    <col min="4865" max="4865" width="10.453125" style="449" customWidth="1"/>
    <col min="4866" max="4866" width="19.453125" style="449" customWidth="1"/>
    <col min="4867" max="4867" width="17.453125" style="449" customWidth="1"/>
    <col min="4868" max="4868" width="43.81640625" style="449" customWidth="1"/>
    <col min="4869" max="4869" width="10.453125" style="449" customWidth="1"/>
    <col min="4870" max="4870" width="13.453125" style="449" customWidth="1"/>
    <col min="4871" max="4872" width="21.453125" style="449" customWidth="1"/>
    <col min="4873" max="4874" width="22" style="449" customWidth="1"/>
    <col min="4875" max="4875" width="22.453125" style="449" bestFit="1" customWidth="1"/>
    <col min="4876" max="4876" width="22.453125" style="449" customWidth="1"/>
    <col min="4877" max="4877" width="22.81640625" style="449" bestFit="1" customWidth="1"/>
    <col min="4878" max="4878" width="22.81640625" style="449" customWidth="1"/>
    <col min="4879" max="4879" width="19.453125" style="449" customWidth="1"/>
    <col min="4880" max="4880" width="8.81640625" style="449"/>
    <col min="4881" max="4881" width="17.453125" style="449" bestFit="1" customWidth="1"/>
    <col min="4882" max="4882" width="16" style="449" customWidth="1"/>
    <col min="4883" max="4884" width="17.453125" style="449" customWidth="1"/>
    <col min="4885" max="4885" width="16.453125" style="449" customWidth="1"/>
    <col min="4886" max="4886" width="8.81640625" style="449"/>
    <col min="4887" max="4887" width="22.453125" style="449" bestFit="1" customWidth="1"/>
    <col min="4888" max="4888" width="22.1796875" style="449" bestFit="1" customWidth="1"/>
    <col min="4889" max="4890" width="17.453125" style="449" customWidth="1"/>
    <col min="4891" max="4891" width="18.1796875" style="449" customWidth="1"/>
    <col min="4892" max="5069" width="8.81640625" style="449"/>
    <col min="5070" max="5070" width="1.453125" style="449" customWidth="1"/>
    <col min="5071" max="5071" width="51.453125" style="449" customWidth="1"/>
    <col min="5072" max="5072" width="12.453125" style="449" customWidth="1"/>
    <col min="5073" max="5073" width="21.453125" style="449" bestFit="1" customWidth="1"/>
    <col min="5074" max="5074" width="12.453125" style="449" customWidth="1"/>
    <col min="5075" max="5075" width="14.453125" style="449" customWidth="1"/>
    <col min="5076" max="5076" width="15.1796875" style="449" customWidth="1"/>
    <col min="5077" max="5077" width="12.453125" style="449" bestFit="1" customWidth="1"/>
    <col min="5078" max="5078" width="13" style="449" customWidth="1"/>
    <col min="5079" max="5079" width="14.54296875" style="449" customWidth="1"/>
    <col min="5080" max="5080" width="44.453125" style="449" customWidth="1"/>
    <col min="5081" max="5081" width="34.54296875" style="449" customWidth="1"/>
    <col min="5082" max="5082" width="37.453125" style="449" customWidth="1"/>
    <col min="5083" max="5083" width="19.81640625" style="449" customWidth="1"/>
    <col min="5084" max="5108" width="8.81640625" style="449"/>
    <col min="5109" max="5109" width="9.54296875" style="449" customWidth="1"/>
    <col min="5110" max="5110" width="50.54296875" style="449" customWidth="1"/>
    <col min="5111" max="5111" width="14.81640625" style="449" customWidth="1"/>
    <col min="5112" max="5112" width="15.54296875" style="449" customWidth="1"/>
    <col min="5113" max="5113" width="8.54296875" style="449" bestFit="1" customWidth="1"/>
    <col min="5114" max="5114" width="21.1796875" style="449" customWidth="1"/>
    <col min="5115" max="5115" width="10.453125" style="449" customWidth="1"/>
    <col min="5116" max="5116" width="17.453125" style="449" customWidth="1"/>
    <col min="5117" max="5117" width="11.1796875" style="449" customWidth="1"/>
    <col min="5118" max="5118" width="17.453125" style="449" customWidth="1"/>
    <col min="5119" max="5119" width="9.453125" style="449" customWidth="1"/>
    <col min="5120" max="5120" width="17.453125" style="449" customWidth="1"/>
    <col min="5121" max="5121" width="10.453125" style="449" customWidth="1"/>
    <col min="5122" max="5122" width="19.453125" style="449" customWidth="1"/>
    <col min="5123" max="5123" width="17.453125" style="449" customWidth="1"/>
    <col min="5124" max="5124" width="43.81640625" style="449" customWidth="1"/>
    <col min="5125" max="5125" width="10.453125" style="449" customWidth="1"/>
    <col min="5126" max="5126" width="13.453125" style="449" customWidth="1"/>
    <col min="5127" max="5128" width="21.453125" style="449" customWidth="1"/>
    <col min="5129" max="5130" width="22" style="449" customWidth="1"/>
    <col min="5131" max="5131" width="22.453125" style="449" bestFit="1" customWidth="1"/>
    <col min="5132" max="5132" width="22.453125" style="449" customWidth="1"/>
    <col min="5133" max="5133" width="22.81640625" style="449" bestFit="1" customWidth="1"/>
    <col min="5134" max="5134" width="22.81640625" style="449" customWidth="1"/>
    <col min="5135" max="5135" width="19.453125" style="449" customWidth="1"/>
    <col min="5136" max="5136" width="8.81640625" style="449"/>
    <col min="5137" max="5137" width="17.453125" style="449" bestFit="1" customWidth="1"/>
    <col min="5138" max="5138" width="16" style="449" customWidth="1"/>
    <col min="5139" max="5140" width="17.453125" style="449" customWidth="1"/>
    <col min="5141" max="5141" width="16.453125" style="449" customWidth="1"/>
    <col min="5142" max="5142" width="8.81640625" style="449"/>
    <col min="5143" max="5143" width="22.453125" style="449" bestFit="1" customWidth="1"/>
    <col min="5144" max="5144" width="22.1796875" style="449" bestFit="1" customWidth="1"/>
    <col min="5145" max="5146" width="17.453125" style="449" customWidth="1"/>
    <col min="5147" max="5147" width="18.1796875" style="449" customWidth="1"/>
    <col min="5148" max="5325" width="8.81640625" style="449"/>
    <col min="5326" max="5326" width="1.453125" style="449" customWidth="1"/>
    <col min="5327" max="5327" width="51.453125" style="449" customWidth="1"/>
    <col min="5328" max="5328" width="12.453125" style="449" customWidth="1"/>
    <col min="5329" max="5329" width="21.453125" style="449" bestFit="1" customWidth="1"/>
    <col min="5330" max="5330" width="12.453125" style="449" customWidth="1"/>
    <col min="5331" max="5331" width="14.453125" style="449" customWidth="1"/>
    <col min="5332" max="5332" width="15.1796875" style="449" customWidth="1"/>
    <col min="5333" max="5333" width="12.453125" style="449" bestFit="1" customWidth="1"/>
    <col min="5334" max="5334" width="13" style="449" customWidth="1"/>
    <col min="5335" max="5335" width="14.54296875" style="449" customWidth="1"/>
    <col min="5336" max="5336" width="44.453125" style="449" customWidth="1"/>
    <col min="5337" max="5337" width="34.54296875" style="449" customWidth="1"/>
    <col min="5338" max="5338" width="37.453125" style="449" customWidth="1"/>
    <col min="5339" max="5339" width="19.81640625" style="449" customWidth="1"/>
    <col min="5340" max="5364" width="8.81640625" style="449"/>
    <col min="5365" max="5365" width="9.54296875" style="449" customWidth="1"/>
    <col min="5366" max="5366" width="50.54296875" style="449" customWidth="1"/>
    <col min="5367" max="5367" width="14.81640625" style="449" customWidth="1"/>
    <col min="5368" max="5368" width="15.54296875" style="449" customWidth="1"/>
    <col min="5369" max="5369" width="8.54296875" style="449" bestFit="1" customWidth="1"/>
    <col min="5370" max="5370" width="21.1796875" style="449" customWidth="1"/>
    <col min="5371" max="5371" width="10.453125" style="449" customWidth="1"/>
    <col min="5372" max="5372" width="17.453125" style="449" customWidth="1"/>
    <col min="5373" max="5373" width="11.1796875" style="449" customWidth="1"/>
    <col min="5374" max="5374" width="17.453125" style="449" customWidth="1"/>
    <col min="5375" max="5375" width="9.453125" style="449" customWidth="1"/>
    <col min="5376" max="5376" width="17.453125" style="449" customWidth="1"/>
    <col min="5377" max="5377" width="10.453125" style="449" customWidth="1"/>
    <col min="5378" max="5378" width="19.453125" style="449" customWidth="1"/>
    <col min="5379" max="5379" width="17.453125" style="449" customWidth="1"/>
    <col min="5380" max="5380" width="43.81640625" style="449" customWidth="1"/>
    <col min="5381" max="5381" width="10.453125" style="449" customWidth="1"/>
    <col min="5382" max="5382" width="13.453125" style="449" customWidth="1"/>
    <col min="5383" max="5384" width="21.453125" style="449" customWidth="1"/>
    <col min="5385" max="5386" width="22" style="449" customWidth="1"/>
    <col min="5387" max="5387" width="22.453125" style="449" bestFit="1" customWidth="1"/>
    <col min="5388" max="5388" width="22.453125" style="449" customWidth="1"/>
    <col min="5389" max="5389" width="22.81640625" style="449" bestFit="1" customWidth="1"/>
    <col min="5390" max="5390" width="22.81640625" style="449" customWidth="1"/>
    <col min="5391" max="5391" width="19.453125" style="449" customWidth="1"/>
    <col min="5392" max="5392" width="8.81640625" style="449"/>
    <col min="5393" max="5393" width="17.453125" style="449" bestFit="1" customWidth="1"/>
    <col min="5394" max="5394" width="16" style="449" customWidth="1"/>
    <col min="5395" max="5396" width="17.453125" style="449" customWidth="1"/>
    <col min="5397" max="5397" width="16.453125" style="449" customWidth="1"/>
    <col min="5398" max="5398" width="8.81640625" style="449"/>
    <col min="5399" max="5399" width="22.453125" style="449" bestFit="1" customWidth="1"/>
    <col min="5400" max="5400" width="22.1796875" style="449" bestFit="1" customWidth="1"/>
    <col min="5401" max="5402" width="17.453125" style="449" customWidth="1"/>
    <col min="5403" max="5403" width="18.1796875" style="449" customWidth="1"/>
    <col min="5404" max="5581" width="8.81640625" style="449"/>
    <col min="5582" max="5582" width="1.453125" style="449" customWidth="1"/>
    <col min="5583" max="5583" width="51.453125" style="449" customWidth="1"/>
    <col min="5584" max="5584" width="12.453125" style="449" customWidth="1"/>
    <col min="5585" max="5585" width="21.453125" style="449" bestFit="1" customWidth="1"/>
    <col min="5586" max="5586" width="12.453125" style="449" customWidth="1"/>
    <col min="5587" max="5587" width="14.453125" style="449" customWidth="1"/>
    <col min="5588" max="5588" width="15.1796875" style="449" customWidth="1"/>
    <col min="5589" max="5589" width="12.453125" style="449" bestFit="1" customWidth="1"/>
    <col min="5590" max="5590" width="13" style="449" customWidth="1"/>
    <col min="5591" max="5591" width="14.54296875" style="449" customWidth="1"/>
    <col min="5592" max="5592" width="44.453125" style="449" customWidth="1"/>
    <col min="5593" max="5593" width="34.54296875" style="449" customWidth="1"/>
    <col min="5594" max="5594" width="37.453125" style="449" customWidth="1"/>
    <col min="5595" max="5595" width="19.81640625" style="449" customWidth="1"/>
    <col min="5596" max="5620" width="8.81640625" style="449"/>
    <col min="5621" max="5621" width="9.54296875" style="449" customWidth="1"/>
    <col min="5622" max="5622" width="50.54296875" style="449" customWidth="1"/>
    <col min="5623" max="5623" width="14.81640625" style="449" customWidth="1"/>
    <col min="5624" max="5624" width="15.54296875" style="449" customWidth="1"/>
    <col min="5625" max="5625" width="8.54296875" style="449" bestFit="1" customWidth="1"/>
    <col min="5626" max="5626" width="21.1796875" style="449" customWidth="1"/>
    <col min="5627" max="5627" width="10.453125" style="449" customWidth="1"/>
    <col min="5628" max="5628" width="17.453125" style="449" customWidth="1"/>
    <col min="5629" max="5629" width="11.1796875" style="449" customWidth="1"/>
    <col min="5630" max="5630" width="17.453125" style="449" customWidth="1"/>
    <col min="5631" max="5631" width="9.453125" style="449" customWidth="1"/>
    <col min="5632" max="5632" width="17.453125" style="449" customWidth="1"/>
    <col min="5633" max="5633" width="10.453125" style="449" customWidth="1"/>
    <col min="5634" max="5634" width="19.453125" style="449" customWidth="1"/>
    <col min="5635" max="5635" width="17.453125" style="449" customWidth="1"/>
    <col min="5636" max="5636" width="43.81640625" style="449" customWidth="1"/>
    <col min="5637" max="5637" width="10.453125" style="449" customWidth="1"/>
    <col min="5638" max="5638" width="13.453125" style="449" customWidth="1"/>
    <col min="5639" max="5640" width="21.453125" style="449" customWidth="1"/>
    <col min="5641" max="5642" width="22" style="449" customWidth="1"/>
    <col min="5643" max="5643" width="22.453125" style="449" bestFit="1" customWidth="1"/>
    <col min="5644" max="5644" width="22.453125" style="449" customWidth="1"/>
    <col min="5645" max="5645" width="22.81640625" style="449" bestFit="1" customWidth="1"/>
    <col min="5646" max="5646" width="22.81640625" style="449" customWidth="1"/>
    <col min="5647" max="5647" width="19.453125" style="449" customWidth="1"/>
    <col min="5648" max="5648" width="8.81640625" style="449"/>
    <col min="5649" max="5649" width="17.453125" style="449" bestFit="1" customWidth="1"/>
    <col min="5650" max="5650" width="16" style="449" customWidth="1"/>
    <col min="5651" max="5652" width="17.453125" style="449" customWidth="1"/>
    <col min="5653" max="5653" width="16.453125" style="449" customWidth="1"/>
    <col min="5654" max="5654" width="8.81640625" style="449"/>
    <col min="5655" max="5655" width="22.453125" style="449" bestFit="1" customWidth="1"/>
    <col min="5656" max="5656" width="22.1796875" style="449" bestFit="1" customWidth="1"/>
    <col min="5657" max="5658" width="17.453125" style="449" customWidth="1"/>
    <col min="5659" max="5659" width="18.1796875" style="449" customWidth="1"/>
    <col min="5660" max="5837" width="8.81640625" style="449"/>
    <col min="5838" max="5838" width="1.453125" style="449" customWidth="1"/>
    <col min="5839" max="5839" width="51.453125" style="449" customWidth="1"/>
    <col min="5840" max="5840" width="12.453125" style="449" customWidth="1"/>
    <col min="5841" max="5841" width="21.453125" style="449" bestFit="1" customWidth="1"/>
    <col min="5842" max="5842" width="12.453125" style="449" customWidth="1"/>
    <col min="5843" max="5843" width="14.453125" style="449" customWidth="1"/>
    <col min="5844" max="5844" width="15.1796875" style="449" customWidth="1"/>
    <col min="5845" max="5845" width="12.453125" style="449" bestFit="1" customWidth="1"/>
    <col min="5846" max="5846" width="13" style="449" customWidth="1"/>
    <col min="5847" max="5847" width="14.54296875" style="449" customWidth="1"/>
    <col min="5848" max="5848" width="44.453125" style="449" customWidth="1"/>
    <col min="5849" max="5849" width="34.54296875" style="449" customWidth="1"/>
    <col min="5850" max="5850" width="37.453125" style="449" customWidth="1"/>
    <col min="5851" max="5851" width="19.81640625" style="449" customWidth="1"/>
    <col min="5852" max="5876" width="8.81640625" style="449"/>
    <col min="5877" max="5877" width="9.54296875" style="449" customWidth="1"/>
    <col min="5878" max="5878" width="50.54296875" style="449" customWidth="1"/>
    <col min="5879" max="5879" width="14.81640625" style="449" customWidth="1"/>
    <col min="5880" max="5880" width="15.54296875" style="449" customWidth="1"/>
    <col min="5881" max="5881" width="8.54296875" style="449" bestFit="1" customWidth="1"/>
    <col min="5882" max="5882" width="21.1796875" style="449" customWidth="1"/>
    <col min="5883" max="5883" width="10.453125" style="449" customWidth="1"/>
    <col min="5884" max="5884" width="17.453125" style="449" customWidth="1"/>
    <col min="5885" max="5885" width="11.1796875" style="449" customWidth="1"/>
    <col min="5886" max="5886" width="17.453125" style="449" customWidth="1"/>
    <col min="5887" max="5887" width="9.453125" style="449" customWidth="1"/>
    <col min="5888" max="5888" width="17.453125" style="449" customWidth="1"/>
    <col min="5889" max="5889" width="10.453125" style="449" customWidth="1"/>
    <col min="5890" max="5890" width="19.453125" style="449" customWidth="1"/>
    <col min="5891" max="5891" width="17.453125" style="449" customWidth="1"/>
    <col min="5892" max="5892" width="43.81640625" style="449" customWidth="1"/>
    <col min="5893" max="5893" width="10.453125" style="449" customWidth="1"/>
    <col min="5894" max="5894" width="13.453125" style="449" customWidth="1"/>
    <col min="5895" max="5896" width="21.453125" style="449" customWidth="1"/>
    <col min="5897" max="5898" width="22" style="449" customWidth="1"/>
    <col min="5899" max="5899" width="22.453125" style="449" bestFit="1" customWidth="1"/>
    <col min="5900" max="5900" width="22.453125" style="449" customWidth="1"/>
    <col min="5901" max="5901" width="22.81640625" style="449" bestFit="1" customWidth="1"/>
    <col min="5902" max="5902" width="22.81640625" style="449" customWidth="1"/>
    <col min="5903" max="5903" width="19.453125" style="449" customWidth="1"/>
    <col min="5904" max="5904" width="8.81640625" style="449"/>
    <col min="5905" max="5905" width="17.453125" style="449" bestFit="1" customWidth="1"/>
    <col min="5906" max="5906" width="16" style="449" customWidth="1"/>
    <col min="5907" max="5908" width="17.453125" style="449" customWidth="1"/>
    <col min="5909" max="5909" width="16.453125" style="449" customWidth="1"/>
    <col min="5910" max="5910" width="8.81640625" style="449"/>
    <col min="5911" max="5911" width="22.453125" style="449" bestFit="1" customWidth="1"/>
    <col min="5912" max="5912" width="22.1796875" style="449" bestFit="1" customWidth="1"/>
    <col min="5913" max="5914" width="17.453125" style="449" customWidth="1"/>
    <col min="5915" max="5915" width="18.1796875" style="449" customWidth="1"/>
    <col min="5916" max="6093" width="8.81640625" style="449"/>
    <col min="6094" max="6094" width="1.453125" style="449" customWidth="1"/>
    <col min="6095" max="6095" width="51.453125" style="449" customWidth="1"/>
    <col min="6096" max="6096" width="12.453125" style="449" customWidth="1"/>
    <col min="6097" max="6097" width="21.453125" style="449" bestFit="1" customWidth="1"/>
    <col min="6098" max="6098" width="12.453125" style="449" customWidth="1"/>
    <col min="6099" max="6099" width="14.453125" style="449" customWidth="1"/>
    <col min="6100" max="6100" width="15.1796875" style="449" customWidth="1"/>
    <col min="6101" max="6101" width="12.453125" style="449" bestFit="1" customWidth="1"/>
    <col min="6102" max="6102" width="13" style="449" customWidth="1"/>
    <col min="6103" max="6103" width="14.54296875" style="449" customWidth="1"/>
    <col min="6104" max="6104" width="44.453125" style="449" customWidth="1"/>
    <col min="6105" max="6105" width="34.54296875" style="449" customWidth="1"/>
    <col min="6106" max="6106" width="37.453125" style="449" customWidth="1"/>
    <col min="6107" max="6107" width="19.81640625" style="449" customWidth="1"/>
    <col min="6108" max="6132" width="8.81640625" style="449"/>
    <col min="6133" max="6133" width="9.54296875" style="449" customWidth="1"/>
    <col min="6134" max="6134" width="50.54296875" style="449" customWidth="1"/>
    <col min="6135" max="6135" width="14.81640625" style="449" customWidth="1"/>
    <col min="6136" max="6136" width="15.54296875" style="449" customWidth="1"/>
    <col min="6137" max="6137" width="8.54296875" style="449" bestFit="1" customWidth="1"/>
    <col min="6138" max="6138" width="21.1796875" style="449" customWidth="1"/>
    <col min="6139" max="6139" width="10.453125" style="449" customWidth="1"/>
    <col min="6140" max="6140" width="17.453125" style="449" customWidth="1"/>
    <col min="6141" max="6141" width="11.1796875" style="449" customWidth="1"/>
    <col min="6142" max="6142" width="17.453125" style="449" customWidth="1"/>
    <col min="6143" max="6143" width="9.453125" style="449" customWidth="1"/>
    <col min="6144" max="6144" width="17.453125" style="449" customWidth="1"/>
    <col min="6145" max="6145" width="10.453125" style="449" customWidth="1"/>
    <col min="6146" max="6146" width="19.453125" style="449" customWidth="1"/>
    <col min="6147" max="6147" width="17.453125" style="449" customWidth="1"/>
    <col min="6148" max="6148" width="43.81640625" style="449" customWidth="1"/>
    <col min="6149" max="6149" width="10.453125" style="449" customWidth="1"/>
    <col min="6150" max="6150" width="13.453125" style="449" customWidth="1"/>
    <col min="6151" max="6152" width="21.453125" style="449" customWidth="1"/>
    <col min="6153" max="6154" width="22" style="449" customWidth="1"/>
    <col min="6155" max="6155" width="22.453125" style="449" bestFit="1" customWidth="1"/>
    <col min="6156" max="6156" width="22.453125" style="449" customWidth="1"/>
    <col min="6157" max="6157" width="22.81640625" style="449" bestFit="1" customWidth="1"/>
    <col min="6158" max="6158" width="22.81640625" style="449" customWidth="1"/>
    <col min="6159" max="6159" width="19.453125" style="449" customWidth="1"/>
    <col min="6160" max="6160" width="8.81640625" style="449"/>
    <col min="6161" max="6161" width="17.453125" style="449" bestFit="1" customWidth="1"/>
    <col min="6162" max="6162" width="16" style="449" customWidth="1"/>
    <col min="6163" max="6164" width="17.453125" style="449" customWidth="1"/>
    <col min="6165" max="6165" width="16.453125" style="449" customWidth="1"/>
    <col min="6166" max="6166" width="8.81640625" style="449"/>
    <col min="6167" max="6167" width="22.453125" style="449" bestFit="1" customWidth="1"/>
    <col min="6168" max="6168" width="22.1796875" style="449" bestFit="1" customWidth="1"/>
    <col min="6169" max="6170" width="17.453125" style="449" customWidth="1"/>
    <col min="6171" max="6171" width="18.1796875" style="449" customWidth="1"/>
    <col min="6172" max="6349" width="8.81640625" style="449"/>
    <col min="6350" max="6350" width="1.453125" style="449" customWidth="1"/>
    <col min="6351" max="6351" width="51.453125" style="449" customWidth="1"/>
    <col min="6352" max="6352" width="12.453125" style="449" customWidth="1"/>
    <col min="6353" max="6353" width="21.453125" style="449" bestFit="1" customWidth="1"/>
    <col min="6354" max="6354" width="12.453125" style="449" customWidth="1"/>
    <col min="6355" max="6355" width="14.453125" style="449" customWidth="1"/>
    <col min="6356" max="6356" width="15.1796875" style="449" customWidth="1"/>
    <col min="6357" max="6357" width="12.453125" style="449" bestFit="1" customWidth="1"/>
    <col min="6358" max="6358" width="13" style="449" customWidth="1"/>
    <col min="6359" max="6359" width="14.54296875" style="449" customWidth="1"/>
    <col min="6360" max="6360" width="44.453125" style="449" customWidth="1"/>
    <col min="6361" max="6361" width="34.54296875" style="449" customWidth="1"/>
    <col min="6362" max="6362" width="37.453125" style="449" customWidth="1"/>
    <col min="6363" max="6363" width="19.81640625" style="449" customWidth="1"/>
    <col min="6364" max="6388" width="8.81640625" style="449"/>
    <col min="6389" max="6389" width="9.54296875" style="449" customWidth="1"/>
    <col min="6390" max="6390" width="50.54296875" style="449" customWidth="1"/>
    <col min="6391" max="6391" width="14.81640625" style="449" customWidth="1"/>
    <col min="6392" max="6392" width="15.54296875" style="449" customWidth="1"/>
    <col min="6393" max="6393" width="8.54296875" style="449" bestFit="1" customWidth="1"/>
    <col min="6394" max="6394" width="21.1796875" style="449" customWidth="1"/>
    <col min="6395" max="6395" width="10.453125" style="449" customWidth="1"/>
    <col min="6396" max="6396" width="17.453125" style="449" customWidth="1"/>
    <col min="6397" max="6397" width="11.1796875" style="449" customWidth="1"/>
    <col min="6398" max="6398" width="17.453125" style="449" customWidth="1"/>
    <col min="6399" max="6399" width="9.453125" style="449" customWidth="1"/>
    <col min="6400" max="6400" width="17.453125" style="449" customWidth="1"/>
    <col min="6401" max="6401" width="10.453125" style="449" customWidth="1"/>
    <col min="6402" max="6402" width="19.453125" style="449" customWidth="1"/>
    <col min="6403" max="6403" width="17.453125" style="449" customWidth="1"/>
    <col min="6404" max="6404" width="43.81640625" style="449" customWidth="1"/>
    <col min="6405" max="6405" width="10.453125" style="449" customWidth="1"/>
    <col min="6406" max="6406" width="13.453125" style="449" customWidth="1"/>
    <col min="6407" max="6408" width="21.453125" style="449" customWidth="1"/>
    <col min="6409" max="6410" width="22" style="449" customWidth="1"/>
    <col min="6411" max="6411" width="22.453125" style="449" bestFit="1" customWidth="1"/>
    <col min="6412" max="6412" width="22.453125" style="449" customWidth="1"/>
    <col min="6413" max="6413" width="22.81640625" style="449" bestFit="1" customWidth="1"/>
    <col min="6414" max="6414" width="22.81640625" style="449" customWidth="1"/>
    <col min="6415" max="6415" width="19.453125" style="449" customWidth="1"/>
    <col min="6416" max="6416" width="8.81640625" style="449"/>
    <col min="6417" max="6417" width="17.453125" style="449" bestFit="1" customWidth="1"/>
    <col min="6418" max="6418" width="16" style="449" customWidth="1"/>
    <col min="6419" max="6420" width="17.453125" style="449" customWidth="1"/>
    <col min="6421" max="6421" width="16.453125" style="449" customWidth="1"/>
    <col min="6422" max="6422" width="8.81640625" style="449"/>
    <col min="6423" max="6423" width="22.453125" style="449" bestFit="1" customWidth="1"/>
    <col min="6424" max="6424" width="22.1796875" style="449" bestFit="1" customWidth="1"/>
    <col min="6425" max="6426" width="17.453125" style="449" customWidth="1"/>
    <col min="6427" max="6427" width="18.1796875" style="449" customWidth="1"/>
    <col min="6428" max="6605" width="8.81640625" style="449"/>
    <col min="6606" max="6606" width="1.453125" style="449" customWidth="1"/>
    <col min="6607" max="6607" width="51.453125" style="449" customWidth="1"/>
    <col min="6608" max="6608" width="12.453125" style="449" customWidth="1"/>
    <col min="6609" max="6609" width="21.453125" style="449" bestFit="1" customWidth="1"/>
    <col min="6610" max="6610" width="12.453125" style="449" customWidth="1"/>
    <col min="6611" max="6611" width="14.453125" style="449" customWidth="1"/>
    <col min="6612" max="6612" width="15.1796875" style="449" customWidth="1"/>
    <col min="6613" max="6613" width="12.453125" style="449" bestFit="1" customWidth="1"/>
    <col min="6614" max="6614" width="13" style="449" customWidth="1"/>
    <col min="6615" max="6615" width="14.54296875" style="449" customWidth="1"/>
    <col min="6616" max="6616" width="44.453125" style="449" customWidth="1"/>
    <col min="6617" max="6617" width="34.54296875" style="449" customWidth="1"/>
    <col min="6618" max="6618" width="37.453125" style="449" customWidth="1"/>
    <col min="6619" max="6619" width="19.81640625" style="449" customWidth="1"/>
    <col min="6620" max="6644" width="8.81640625" style="449"/>
    <col min="6645" max="6645" width="9.54296875" style="449" customWidth="1"/>
    <col min="6646" max="6646" width="50.54296875" style="449" customWidth="1"/>
    <col min="6647" max="6647" width="14.81640625" style="449" customWidth="1"/>
    <col min="6648" max="6648" width="15.54296875" style="449" customWidth="1"/>
    <col min="6649" max="6649" width="8.54296875" style="449" bestFit="1" customWidth="1"/>
    <col min="6650" max="6650" width="21.1796875" style="449" customWidth="1"/>
    <col min="6651" max="6651" width="10.453125" style="449" customWidth="1"/>
    <col min="6652" max="6652" width="17.453125" style="449" customWidth="1"/>
    <col min="6653" max="6653" width="11.1796875" style="449" customWidth="1"/>
    <col min="6654" max="6654" width="17.453125" style="449" customWidth="1"/>
    <col min="6655" max="6655" width="9.453125" style="449" customWidth="1"/>
    <col min="6656" max="6656" width="17.453125" style="449" customWidth="1"/>
    <col min="6657" max="6657" width="10.453125" style="449" customWidth="1"/>
    <col min="6658" max="6658" width="19.453125" style="449" customWidth="1"/>
    <col min="6659" max="6659" width="17.453125" style="449" customWidth="1"/>
    <col min="6660" max="6660" width="43.81640625" style="449" customWidth="1"/>
    <col min="6661" max="6661" width="10.453125" style="449" customWidth="1"/>
    <col min="6662" max="6662" width="13.453125" style="449" customWidth="1"/>
    <col min="6663" max="6664" width="21.453125" style="449" customWidth="1"/>
    <col min="6665" max="6666" width="22" style="449" customWidth="1"/>
    <col min="6667" max="6667" width="22.453125" style="449" bestFit="1" customWidth="1"/>
    <col min="6668" max="6668" width="22.453125" style="449" customWidth="1"/>
    <col min="6669" max="6669" width="22.81640625" style="449" bestFit="1" customWidth="1"/>
    <col min="6670" max="6670" width="22.81640625" style="449" customWidth="1"/>
    <col min="6671" max="6671" width="19.453125" style="449" customWidth="1"/>
    <col min="6672" max="6672" width="8.81640625" style="449"/>
    <col min="6673" max="6673" width="17.453125" style="449" bestFit="1" customWidth="1"/>
    <col min="6674" max="6674" width="16" style="449" customWidth="1"/>
    <col min="6675" max="6676" width="17.453125" style="449" customWidth="1"/>
    <col min="6677" max="6677" width="16.453125" style="449" customWidth="1"/>
    <col min="6678" max="6678" width="8.81640625" style="449"/>
    <col min="6679" max="6679" width="22.453125" style="449" bestFit="1" customWidth="1"/>
    <col min="6680" max="6680" width="22.1796875" style="449" bestFit="1" customWidth="1"/>
    <col min="6681" max="6682" width="17.453125" style="449" customWidth="1"/>
    <col min="6683" max="6683" width="18.1796875" style="449" customWidth="1"/>
    <col min="6684" max="6861" width="8.81640625" style="449"/>
    <col min="6862" max="6862" width="1.453125" style="449" customWidth="1"/>
    <col min="6863" max="6863" width="51.453125" style="449" customWidth="1"/>
    <col min="6864" max="6864" width="12.453125" style="449" customWidth="1"/>
    <col min="6865" max="6865" width="21.453125" style="449" bestFit="1" customWidth="1"/>
    <col min="6866" max="6866" width="12.453125" style="449" customWidth="1"/>
    <col min="6867" max="6867" width="14.453125" style="449" customWidth="1"/>
    <col min="6868" max="6868" width="15.1796875" style="449" customWidth="1"/>
    <col min="6869" max="6869" width="12.453125" style="449" bestFit="1" customWidth="1"/>
    <col min="6870" max="6870" width="13" style="449" customWidth="1"/>
    <col min="6871" max="6871" width="14.54296875" style="449" customWidth="1"/>
    <col min="6872" max="6872" width="44.453125" style="449" customWidth="1"/>
    <col min="6873" max="6873" width="34.54296875" style="449" customWidth="1"/>
    <col min="6874" max="6874" width="37.453125" style="449" customWidth="1"/>
    <col min="6875" max="6875" width="19.81640625" style="449" customWidth="1"/>
    <col min="6876" max="6900" width="8.81640625" style="449"/>
    <col min="6901" max="6901" width="9.54296875" style="449" customWidth="1"/>
    <col min="6902" max="6902" width="50.54296875" style="449" customWidth="1"/>
    <col min="6903" max="6903" width="14.81640625" style="449" customWidth="1"/>
    <col min="6904" max="6904" width="15.54296875" style="449" customWidth="1"/>
    <col min="6905" max="6905" width="8.54296875" style="449" bestFit="1" customWidth="1"/>
    <col min="6906" max="6906" width="21.1796875" style="449" customWidth="1"/>
    <col min="6907" max="6907" width="10.453125" style="449" customWidth="1"/>
    <col min="6908" max="6908" width="17.453125" style="449" customWidth="1"/>
    <col min="6909" max="6909" width="11.1796875" style="449" customWidth="1"/>
    <col min="6910" max="6910" width="17.453125" style="449" customWidth="1"/>
    <col min="6911" max="6911" width="9.453125" style="449" customWidth="1"/>
    <col min="6912" max="6912" width="17.453125" style="449" customWidth="1"/>
    <col min="6913" max="6913" width="10.453125" style="449" customWidth="1"/>
    <col min="6914" max="6914" width="19.453125" style="449" customWidth="1"/>
    <col min="6915" max="6915" width="17.453125" style="449" customWidth="1"/>
    <col min="6916" max="6916" width="43.81640625" style="449" customWidth="1"/>
    <col min="6917" max="6917" width="10.453125" style="449" customWidth="1"/>
    <col min="6918" max="6918" width="13.453125" style="449" customWidth="1"/>
    <col min="6919" max="6920" width="21.453125" style="449" customWidth="1"/>
    <col min="6921" max="6922" width="22" style="449" customWidth="1"/>
    <col min="6923" max="6923" width="22.453125" style="449" bestFit="1" customWidth="1"/>
    <col min="6924" max="6924" width="22.453125" style="449" customWidth="1"/>
    <col min="6925" max="6925" width="22.81640625" style="449" bestFit="1" customWidth="1"/>
    <col min="6926" max="6926" width="22.81640625" style="449" customWidth="1"/>
    <col min="6927" max="6927" width="19.453125" style="449" customWidth="1"/>
    <col min="6928" max="6928" width="8.81640625" style="449"/>
    <col min="6929" max="6929" width="17.453125" style="449" bestFit="1" customWidth="1"/>
    <col min="6930" max="6930" width="16" style="449" customWidth="1"/>
    <col min="6931" max="6932" width="17.453125" style="449" customWidth="1"/>
    <col min="6933" max="6933" width="16.453125" style="449" customWidth="1"/>
    <col min="6934" max="6934" width="8.81640625" style="449"/>
    <col min="6935" max="6935" width="22.453125" style="449" bestFit="1" customWidth="1"/>
    <col min="6936" max="6936" width="22.1796875" style="449" bestFit="1" customWidth="1"/>
    <col min="6937" max="6938" width="17.453125" style="449" customWidth="1"/>
    <col min="6939" max="6939" width="18.1796875" style="449" customWidth="1"/>
    <col min="6940" max="7117" width="8.81640625" style="449"/>
    <col min="7118" max="7118" width="1.453125" style="449" customWidth="1"/>
    <col min="7119" max="7119" width="51.453125" style="449" customWidth="1"/>
    <col min="7120" max="7120" width="12.453125" style="449" customWidth="1"/>
    <col min="7121" max="7121" width="21.453125" style="449" bestFit="1" customWidth="1"/>
    <col min="7122" max="7122" width="12.453125" style="449" customWidth="1"/>
    <col min="7123" max="7123" width="14.453125" style="449" customWidth="1"/>
    <col min="7124" max="7124" width="15.1796875" style="449" customWidth="1"/>
    <col min="7125" max="7125" width="12.453125" style="449" bestFit="1" customWidth="1"/>
    <col min="7126" max="7126" width="13" style="449" customWidth="1"/>
    <col min="7127" max="7127" width="14.54296875" style="449" customWidth="1"/>
    <col min="7128" max="7128" width="44.453125" style="449" customWidth="1"/>
    <col min="7129" max="7129" width="34.54296875" style="449" customWidth="1"/>
    <col min="7130" max="7130" width="37.453125" style="449" customWidth="1"/>
    <col min="7131" max="7131" width="19.81640625" style="449" customWidth="1"/>
    <col min="7132" max="7156" width="8.81640625" style="449"/>
    <col min="7157" max="7157" width="9.54296875" style="449" customWidth="1"/>
    <col min="7158" max="7158" width="50.54296875" style="449" customWidth="1"/>
    <col min="7159" max="7159" width="14.81640625" style="449" customWidth="1"/>
    <col min="7160" max="7160" width="15.54296875" style="449" customWidth="1"/>
    <col min="7161" max="7161" width="8.54296875" style="449" bestFit="1" customWidth="1"/>
    <col min="7162" max="7162" width="21.1796875" style="449" customWidth="1"/>
    <col min="7163" max="7163" width="10.453125" style="449" customWidth="1"/>
    <col min="7164" max="7164" width="17.453125" style="449" customWidth="1"/>
    <col min="7165" max="7165" width="11.1796875" style="449" customWidth="1"/>
    <col min="7166" max="7166" width="17.453125" style="449" customWidth="1"/>
    <col min="7167" max="7167" width="9.453125" style="449" customWidth="1"/>
    <col min="7168" max="7168" width="17.453125" style="449" customWidth="1"/>
    <col min="7169" max="7169" width="10.453125" style="449" customWidth="1"/>
    <col min="7170" max="7170" width="19.453125" style="449" customWidth="1"/>
    <col min="7171" max="7171" width="17.453125" style="449" customWidth="1"/>
    <col min="7172" max="7172" width="43.81640625" style="449" customWidth="1"/>
    <col min="7173" max="7173" width="10.453125" style="449" customWidth="1"/>
    <col min="7174" max="7174" width="13.453125" style="449" customWidth="1"/>
    <col min="7175" max="7176" width="21.453125" style="449" customWidth="1"/>
    <col min="7177" max="7178" width="22" style="449" customWidth="1"/>
    <col min="7179" max="7179" width="22.453125" style="449" bestFit="1" customWidth="1"/>
    <col min="7180" max="7180" width="22.453125" style="449" customWidth="1"/>
    <col min="7181" max="7181" width="22.81640625" style="449" bestFit="1" customWidth="1"/>
    <col min="7182" max="7182" width="22.81640625" style="449" customWidth="1"/>
    <col min="7183" max="7183" width="19.453125" style="449" customWidth="1"/>
    <col min="7184" max="7184" width="8.81640625" style="449"/>
    <col min="7185" max="7185" width="17.453125" style="449" bestFit="1" customWidth="1"/>
    <col min="7186" max="7186" width="16" style="449" customWidth="1"/>
    <col min="7187" max="7188" width="17.453125" style="449" customWidth="1"/>
    <col min="7189" max="7189" width="16.453125" style="449" customWidth="1"/>
    <col min="7190" max="7190" width="8.81640625" style="449"/>
    <col min="7191" max="7191" width="22.453125" style="449" bestFit="1" customWidth="1"/>
    <col min="7192" max="7192" width="22.1796875" style="449" bestFit="1" customWidth="1"/>
    <col min="7193" max="7194" width="17.453125" style="449" customWidth="1"/>
    <col min="7195" max="7195" width="18.1796875" style="449" customWidth="1"/>
    <col min="7196" max="7373" width="8.81640625" style="449"/>
    <col min="7374" max="7374" width="1.453125" style="449" customWidth="1"/>
    <col min="7375" max="7375" width="51.453125" style="449" customWidth="1"/>
    <col min="7376" max="7376" width="12.453125" style="449" customWidth="1"/>
    <col min="7377" max="7377" width="21.453125" style="449" bestFit="1" customWidth="1"/>
    <col min="7378" max="7378" width="12.453125" style="449" customWidth="1"/>
    <col min="7379" max="7379" width="14.453125" style="449" customWidth="1"/>
    <col min="7380" max="7380" width="15.1796875" style="449" customWidth="1"/>
    <col min="7381" max="7381" width="12.453125" style="449" bestFit="1" customWidth="1"/>
    <col min="7382" max="7382" width="13" style="449" customWidth="1"/>
    <col min="7383" max="7383" width="14.54296875" style="449" customWidth="1"/>
    <col min="7384" max="7384" width="44.453125" style="449" customWidth="1"/>
    <col min="7385" max="7385" width="34.54296875" style="449" customWidth="1"/>
    <col min="7386" max="7386" width="37.453125" style="449" customWidth="1"/>
    <col min="7387" max="7387" width="19.81640625" style="449" customWidth="1"/>
    <col min="7388" max="7412" width="8.81640625" style="449"/>
    <col min="7413" max="7413" width="9.54296875" style="449" customWidth="1"/>
    <col min="7414" max="7414" width="50.54296875" style="449" customWidth="1"/>
    <col min="7415" max="7415" width="14.81640625" style="449" customWidth="1"/>
    <col min="7416" max="7416" width="15.54296875" style="449" customWidth="1"/>
    <col min="7417" max="7417" width="8.54296875" style="449" bestFit="1" customWidth="1"/>
    <col min="7418" max="7418" width="21.1796875" style="449" customWidth="1"/>
    <col min="7419" max="7419" width="10.453125" style="449" customWidth="1"/>
    <col min="7420" max="7420" width="17.453125" style="449" customWidth="1"/>
    <col min="7421" max="7421" width="11.1796875" style="449" customWidth="1"/>
    <col min="7422" max="7422" width="17.453125" style="449" customWidth="1"/>
    <col min="7423" max="7423" width="9.453125" style="449" customWidth="1"/>
    <col min="7424" max="7424" width="17.453125" style="449" customWidth="1"/>
    <col min="7425" max="7425" width="10.453125" style="449" customWidth="1"/>
    <col min="7426" max="7426" width="19.453125" style="449" customWidth="1"/>
    <col min="7427" max="7427" width="17.453125" style="449" customWidth="1"/>
    <col min="7428" max="7428" width="43.81640625" style="449" customWidth="1"/>
    <col min="7429" max="7429" width="10.453125" style="449" customWidth="1"/>
    <col min="7430" max="7430" width="13.453125" style="449" customWidth="1"/>
    <col min="7431" max="7432" width="21.453125" style="449" customWidth="1"/>
    <col min="7433" max="7434" width="22" style="449" customWidth="1"/>
    <col min="7435" max="7435" width="22.453125" style="449" bestFit="1" customWidth="1"/>
    <col min="7436" max="7436" width="22.453125" style="449" customWidth="1"/>
    <col min="7437" max="7437" width="22.81640625" style="449" bestFit="1" customWidth="1"/>
    <col min="7438" max="7438" width="22.81640625" style="449" customWidth="1"/>
    <col min="7439" max="7439" width="19.453125" style="449" customWidth="1"/>
    <col min="7440" max="7440" width="8.81640625" style="449"/>
    <col min="7441" max="7441" width="17.453125" style="449" bestFit="1" customWidth="1"/>
    <col min="7442" max="7442" width="16" style="449" customWidth="1"/>
    <col min="7443" max="7444" width="17.453125" style="449" customWidth="1"/>
    <col min="7445" max="7445" width="16.453125" style="449" customWidth="1"/>
    <col min="7446" max="7446" width="8.81640625" style="449"/>
    <col min="7447" max="7447" width="22.453125" style="449" bestFit="1" customWidth="1"/>
    <col min="7448" max="7448" width="22.1796875" style="449" bestFit="1" customWidth="1"/>
    <col min="7449" max="7450" width="17.453125" style="449" customWidth="1"/>
    <col min="7451" max="7451" width="18.1796875" style="449" customWidth="1"/>
    <col min="7452" max="7629" width="8.81640625" style="449"/>
    <col min="7630" max="7630" width="1.453125" style="449" customWidth="1"/>
    <col min="7631" max="7631" width="51.453125" style="449" customWidth="1"/>
    <col min="7632" max="7632" width="12.453125" style="449" customWidth="1"/>
    <col min="7633" max="7633" width="21.453125" style="449" bestFit="1" customWidth="1"/>
    <col min="7634" max="7634" width="12.453125" style="449" customWidth="1"/>
    <col min="7635" max="7635" width="14.453125" style="449" customWidth="1"/>
    <col min="7636" max="7636" width="15.1796875" style="449" customWidth="1"/>
    <col min="7637" max="7637" width="12.453125" style="449" bestFit="1" customWidth="1"/>
    <col min="7638" max="7638" width="13" style="449" customWidth="1"/>
    <col min="7639" max="7639" width="14.54296875" style="449" customWidth="1"/>
    <col min="7640" max="7640" width="44.453125" style="449" customWidth="1"/>
    <col min="7641" max="7641" width="34.54296875" style="449" customWidth="1"/>
    <col min="7642" max="7642" width="37.453125" style="449" customWidth="1"/>
    <col min="7643" max="7643" width="19.81640625" style="449" customWidth="1"/>
    <col min="7644" max="7668" width="8.81640625" style="449"/>
    <col min="7669" max="7669" width="9.54296875" style="449" customWidth="1"/>
    <col min="7670" max="7670" width="50.54296875" style="449" customWidth="1"/>
    <col min="7671" max="7671" width="14.81640625" style="449" customWidth="1"/>
    <col min="7672" max="7672" width="15.54296875" style="449" customWidth="1"/>
    <col min="7673" max="7673" width="8.54296875" style="449" bestFit="1" customWidth="1"/>
    <col min="7674" max="7674" width="21.1796875" style="449" customWidth="1"/>
    <col min="7675" max="7675" width="10.453125" style="449" customWidth="1"/>
    <col min="7676" max="7676" width="17.453125" style="449" customWidth="1"/>
    <col min="7677" max="7677" width="11.1796875" style="449" customWidth="1"/>
    <col min="7678" max="7678" width="17.453125" style="449" customWidth="1"/>
    <col min="7679" max="7679" width="9.453125" style="449" customWidth="1"/>
    <col min="7680" max="7680" width="17.453125" style="449" customWidth="1"/>
    <col min="7681" max="7681" width="10.453125" style="449" customWidth="1"/>
    <col min="7682" max="7682" width="19.453125" style="449" customWidth="1"/>
    <col min="7683" max="7683" width="17.453125" style="449" customWidth="1"/>
    <col min="7684" max="7684" width="43.81640625" style="449" customWidth="1"/>
    <col min="7685" max="7685" width="10.453125" style="449" customWidth="1"/>
    <col min="7686" max="7686" width="13.453125" style="449" customWidth="1"/>
    <col min="7687" max="7688" width="21.453125" style="449" customWidth="1"/>
    <col min="7689" max="7690" width="22" style="449" customWidth="1"/>
    <col min="7691" max="7691" width="22.453125" style="449" bestFit="1" customWidth="1"/>
    <col min="7692" max="7692" width="22.453125" style="449" customWidth="1"/>
    <col min="7693" max="7693" width="22.81640625" style="449" bestFit="1" customWidth="1"/>
    <col min="7694" max="7694" width="22.81640625" style="449" customWidth="1"/>
    <col min="7695" max="7695" width="19.453125" style="449" customWidth="1"/>
    <col min="7696" max="7696" width="8.81640625" style="449"/>
    <col min="7697" max="7697" width="17.453125" style="449" bestFit="1" customWidth="1"/>
    <col min="7698" max="7698" width="16" style="449" customWidth="1"/>
    <col min="7699" max="7700" width="17.453125" style="449" customWidth="1"/>
    <col min="7701" max="7701" width="16.453125" style="449" customWidth="1"/>
    <col min="7702" max="7702" width="8.81640625" style="449"/>
    <col min="7703" max="7703" width="22.453125" style="449" bestFit="1" customWidth="1"/>
    <col min="7704" max="7704" width="22.1796875" style="449" bestFit="1" customWidth="1"/>
    <col min="7705" max="7706" width="17.453125" style="449" customWidth="1"/>
    <col min="7707" max="7707" width="18.1796875" style="449" customWidth="1"/>
    <col min="7708" max="7885" width="8.81640625" style="449"/>
    <col min="7886" max="7886" width="1.453125" style="449" customWidth="1"/>
    <col min="7887" max="7887" width="51.453125" style="449" customWidth="1"/>
    <col min="7888" max="7888" width="12.453125" style="449" customWidth="1"/>
    <col min="7889" max="7889" width="21.453125" style="449" bestFit="1" customWidth="1"/>
    <col min="7890" max="7890" width="12.453125" style="449" customWidth="1"/>
    <col min="7891" max="7891" width="14.453125" style="449" customWidth="1"/>
    <col min="7892" max="7892" width="15.1796875" style="449" customWidth="1"/>
    <col min="7893" max="7893" width="12.453125" style="449" bestFit="1" customWidth="1"/>
    <col min="7894" max="7894" width="13" style="449" customWidth="1"/>
    <col min="7895" max="7895" width="14.54296875" style="449" customWidth="1"/>
    <col min="7896" max="7896" width="44.453125" style="449" customWidth="1"/>
    <col min="7897" max="7897" width="34.54296875" style="449" customWidth="1"/>
    <col min="7898" max="7898" width="37.453125" style="449" customWidth="1"/>
    <col min="7899" max="7899" width="19.81640625" style="449" customWidth="1"/>
    <col min="7900" max="7924" width="8.81640625" style="449"/>
    <col min="7925" max="7925" width="9.54296875" style="449" customWidth="1"/>
    <col min="7926" max="7926" width="50.54296875" style="449" customWidth="1"/>
    <col min="7927" max="7927" width="14.81640625" style="449" customWidth="1"/>
    <col min="7928" max="7928" width="15.54296875" style="449" customWidth="1"/>
    <col min="7929" max="7929" width="8.54296875" style="449" bestFit="1" customWidth="1"/>
    <col min="7930" max="7930" width="21.1796875" style="449" customWidth="1"/>
    <col min="7931" max="7931" width="10.453125" style="449" customWidth="1"/>
    <col min="7932" max="7932" width="17.453125" style="449" customWidth="1"/>
    <col min="7933" max="7933" width="11.1796875" style="449" customWidth="1"/>
    <col min="7934" max="7934" width="17.453125" style="449" customWidth="1"/>
    <col min="7935" max="7935" width="9.453125" style="449" customWidth="1"/>
    <col min="7936" max="7936" width="17.453125" style="449" customWidth="1"/>
    <col min="7937" max="7937" width="10.453125" style="449" customWidth="1"/>
    <col min="7938" max="7938" width="19.453125" style="449" customWidth="1"/>
    <col min="7939" max="7939" width="17.453125" style="449" customWidth="1"/>
    <col min="7940" max="7940" width="43.81640625" style="449" customWidth="1"/>
    <col min="7941" max="7941" width="10.453125" style="449" customWidth="1"/>
    <col min="7942" max="7942" width="13.453125" style="449" customWidth="1"/>
    <col min="7943" max="7944" width="21.453125" style="449" customWidth="1"/>
    <col min="7945" max="7946" width="22" style="449" customWidth="1"/>
    <col min="7947" max="7947" width="22.453125" style="449" bestFit="1" customWidth="1"/>
    <col min="7948" max="7948" width="22.453125" style="449" customWidth="1"/>
    <col min="7949" max="7949" width="22.81640625" style="449" bestFit="1" customWidth="1"/>
    <col min="7950" max="7950" width="22.81640625" style="449" customWidth="1"/>
    <col min="7951" max="7951" width="19.453125" style="449" customWidth="1"/>
    <col min="7952" max="7952" width="8.81640625" style="449"/>
    <col min="7953" max="7953" width="17.453125" style="449" bestFit="1" customWidth="1"/>
    <col min="7954" max="7954" width="16" style="449" customWidth="1"/>
    <col min="7955" max="7956" width="17.453125" style="449" customWidth="1"/>
    <col min="7957" max="7957" width="16.453125" style="449" customWidth="1"/>
    <col min="7958" max="7958" width="8.81640625" style="449"/>
    <col min="7959" max="7959" width="22.453125" style="449" bestFit="1" customWidth="1"/>
    <col min="7960" max="7960" width="22.1796875" style="449" bestFit="1" customWidth="1"/>
    <col min="7961" max="7962" width="17.453125" style="449" customWidth="1"/>
    <col min="7963" max="7963" width="18.1796875" style="449" customWidth="1"/>
    <col min="7964" max="8141" width="8.81640625" style="449"/>
    <col min="8142" max="8142" width="1.453125" style="449" customWidth="1"/>
    <col min="8143" max="8143" width="51.453125" style="449" customWidth="1"/>
    <col min="8144" max="8144" width="12.453125" style="449" customWidth="1"/>
    <col min="8145" max="8145" width="21.453125" style="449" bestFit="1" customWidth="1"/>
    <col min="8146" max="8146" width="12.453125" style="449" customWidth="1"/>
    <col min="8147" max="8147" width="14.453125" style="449" customWidth="1"/>
    <col min="8148" max="8148" width="15.1796875" style="449" customWidth="1"/>
    <col min="8149" max="8149" width="12.453125" style="449" bestFit="1" customWidth="1"/>
    <col min="8150" max="8150" width="13" style="449" customWidth="1"/>
    <col min="8151" max="8151" width="14.54296875" style="449" customWidth="1"/>
    <col min="8152" max="8152" width="44.453125" style="449" customWidth="1"/>
    <col min="8153" max="8153" width="34.54296875" style="449" customWidth="1"/>
    <col min="8154" max="8154" width="37.453125" style="449" customWidth="1"/>
    <col min="8155" max="8155" width="19.81640625" style="449" customWidth="1"/>
    <col min="8156" max="8180" width="8.81640625" style="449"/>
    <col min="8181" max="8181" width="9.54296875" style="449" customWidth="1"/>
    <col min="8182" max="8182" width="50.54296875" style="449" customWidth="1"/>
    <col min="8183" max="8183" width="14.81640625" style="449" customWidth="1"/>
    <col min="8184" max="8184" width="15.54296875" style="449" customWidth="1"/>
    <col min="8185" max="8185" width="8.54296875" style="449" bestFit="1" customWidth="1"/>
    <col min="8186" max="8186" width="21.1796875" style="449" customWidth="1"/>
    <col min="8187" max="8187" width="10.453125" style="449" customWidth="1"/>
    <col min="8188" max="8188" width="17.453125" style="449" customWidth="1"/>
    <col min="8189" max="8189" width="11.1796875" style="449" customWidth="1"/>
    <col min="8190" max="8190" width="17.453125" style="449" customWidth="1"/>
    <col min="8191" max="8191" width="9.453125" style="449" customWidth="1"/>
    <col min="8192" max="8192" width="17.453125" style="449" customWidth="1"/>
    <col min="8193" max="8193" width="10.453125" style="449" customWidth="1"/>
    <col min="8194" max="8194" width="19.453125" style="449" customWidth="1"/>
    <col min="8195" max="8195" width="17.453125" style="449" customWidth="1"/>
    <col min="8196" max="8196" width="43.81640625" style="449" customWidth="1"/>
    <col min="8197" max="8197" width="10.453125" style="449" customWidth="1"/>
    <col min="8198" max="8198" width="13.453125" style="449" customWidth="1"/>
    <col min="8199" max="8200" width="21.453125" style="449" customWidth="1"/>
    <col min="8201" max="8202" width="22" style="449" customWidth="1"/>
    <col min="8203" max="8203" width="22.453125" style="449" bestFit="1" customWidth="1"/>
    <col min="8204" max="8204" width="22.453125" style="449" customWidth="1"/>
    <col min="8205" max="8205" width="22.81640625" style="449" bestFit="1" customWidth="1"/>
    <col min="8206" max="8206" width="22.81640625" style="449" customWidth="1"/>
    <col min="8207" max="8207" width="19.453125" style="449" customWidth="1"/>
    <col min="8208" max="8208" width="8.81640625" style="449"/>
    <col min="8209" max="8209" width="17.453125" style="449" bestFit="1" customWidth="1"/>
    <col min="8210" max="8210" width="16" style="449" customWidth="1"/>
    <col min="8211" max="8212" width="17.453125" style="449" customWidth="1"/>
    <col min="8213" max="8213" width="16.453125" style="449" customWidth="1"/>
    <col min="8214" max="8214" width="8.81640625" style="449"/>
    <col min="8215" max="8215" width="22.453125" style="449" bestFit="1" customWidth="1"/>
    <col min="8216" max="8216" width="22.1796875" style="449" bestFit="1" customWidth="1"/>
    <col min="8217" max="8218" width="17.453125" style="449" customWidth="1"/>
    <col min="8219" max="8219" width="18.1796875" style="449" customWidth="1"/>
    <col min="8220" max="8397" width="8.81640625" style="449"/>
    <col min="8398" max="8398" width="1.453125" style="449" customWidth="1"/>
    <col min="8399" max="8399" width="51.453125" style="449" customWidth="1"/>
    <col min="8400" max="8400" width="12.453125" style="449" customWidth="1"/>
    <col min="8401" max="8401" width="21.453125" style="449" bestFit="1" customWidth="1"/>
    <col min="8402" max="8402" width="12.453125" style="449" customWidth="1"/>
    <col min="8403" max="8403" width="14.453125" style="449" customWidth="1"/>
    <col min="8404" max="8404" width="15.1796875" style="449" customWidth="1"/>
    <col min="8405" max="8405" width="12.453125" style="449" bestFit="1" customWidth="1"/>
    <col min="8406" max="8406" width="13" style="449" customWidth="1"/>
    <col min="8407" max="8407" width="14.54296875" style="449" customWidth="1"/>
    <col min="8408" max="8408" width="44.453125" style="449" customWidth="1"/>
    <col min="8409" max="8409" width="34.54296875" style="449" customWidth="1"/>
    <col min="8410" max="8410" width="37.453125" style="449" customWidth="1"/>
    <col min="8411" max="8411" width="19.81640625" style="449" customWidth="1"/>
    <col min="8412" max="8436" width="8.81640625" style="449"/>
    <col min="8437" max="8437" width="9.54296875" style="449" customWidth="1"/>
    <col min="8438" max="8438" width="50.54296875" style="449" customWidth="1"/>
    <col min="8439" max="8439" width="14.81640625" style="449" customWidth="1"/>
    <col min="8440" max="8440" width="15.54296875" style="449" customWidth="1"/>
    <col min="8441" max="8441" width="8.54296875" style="449" bestFit="1" customWidth="1"/>
    <col min="8442" max="8442" width="21.1796875" style="449" customWidth="1"/>
    <col min="8443" max="8443" width="10.453125" style="449" customWidth="1"/>
    <col min="8444" max="8444" width="17.453125" style="449" customWidth="1"/>
    <col min="8445" max="8445" width="11.1796875" style="449" customWidth="1"/>
    <col min="8446" max="8446" width="17.453125" style="449" customWidth="1"/>
    <col min="8447" max="8447" width="9.453125" style="449" customWidth="1"/>
    <col min="8448" max="8448" width="17.453125" style="449" customWidth="1"/>
    <col min="8449" max="8449" width="10.453125" style="449" customWidth="1"/>
    <col min="8450" max="8450" width="19.453125" style="449" customWidth="1"/>
    <col min="8451" max="8451" width="17.453125" style="449" customWidth="1"/>
    <col min="8452" max="8452" width="43.81640625" style="449" customWidth="1"/>
    <col min="8453" max="8453" width="10.453125" style="449" customWidth="1"/>
    <col min="8454" max="8454" width="13.453125" style="449" customWidth="1"/>
    <col min="8455" max="8456" width="21.453125" style="449" customWidth="1"/>
    <col min="8457" max="8458" width="22" style="449" customWidth="1"/>
    <col min="8459" max="8459" width="22.453125" style="449" bestFit="1" customWidth="1"/>
    <col min="8460" max="8460" width="22.453125" style="449" customWidth="1"/>
    <col min="8461" max="8461" width="22.81640625" style="449" bestFit="1" customWidth="1"/>
    <col min="8462" max="8462" width="22.81640625" style="449" customWidth="1"/>
    <col min="8463" max="8463" width="19.453125" style="449" customWidth="1"/>
    <col min="8464" max="8464" width="8.81640625" style="449"/>
    <col min="8465" max="8465" width="17.453125" style="449" bestFit="1" customWidth="1"/>
    <col min="8466" max="8466" width="16" style="449" customWidth="1"/>
    <col min="8467" max="8468" width="17.453125" style="449" customWidth="1"/>
    <col min="8469" max="8469" width="16.453125" style="449" customWidth="1"/>
    <col min="8470" max="8470" width="8.81640625" style="449"/>
    <col min="8471" max="8471" width="22.453125" style="449" bestFit="1" customWidth="1"/>
    <col min="8472" max="8472" width="22.1796875" style="449" bestFit="1" customWidth="1"/>
    <col min="8473" max="8474" width="17.453125" style="449" customWidth="1"/>
    <col min="8475" max="8475" width="18.1796875" style="449" customWidth="1"/>
    <col min="8476" max="8653" width="8.81640625" style="449"/>
    <col min="8654" max="8654" width="1.453125" style="449" customWidth="1"/>
    <col min="8655" max="8655" width="51.453125" style="449" customWidth="1"/>
    <col min="8656" max="8656" width="12.453125" style="449" customWidth="1"/>
    <col min="8657" max="8657" width="21.453125" style="449" bestFit="1" customWidth="1"/>
    <col min="8658" max="8658" width="12.453125" style="449" customWidth="1"/>
    <col min="8659" max="8659" width="14.453125" style="449" customWidth="1"/>
    <col min="8660" max="8660" width="15.1796875" style="449" customWidth="1"/>
    <col min="8661" max="8661" width="12.453125" style="449" bestFit="1" customWidth="1"/>
    <col min="8662" max="8662" width="13" style="449" customWidth="1"/>
    <col min="8663" max="8663" width="14.54296875" style="449" customWidth="1"/>
    <col min="8664" max="8664" width="44.453125" style="449" customWidth="1"/>
    <col min="8665" max="8665" width="34.54296875" style="449" customWidth="1"/>
    <col min="8666" max="8666" width="37.453125" style="449" customWidth="1"/>
    <col min="8667" max="8667" width="19.81640625" style="449" customWidth="1"/>
    <col min="8668" max="8692" width="8.81640625" style="449"/>
    <col min="8693" max="8693" width="9.54296875" style="449" customWidth="1"/>
    <col min="8694" max="8694" width="50.54296875" style="449" customWidth="1"/>
    <col min="8695" max="8695" width="14.81640625" style="449" customWidth="1"/>
    <col min="8696" max="8696" width="15.54296875" style="449" customWidth="1"/>
    <col min="8697" max="8697" width="8.54296875" style="449" bestFit="1" customWidth="1"/>
    <col min="8698" max="8698" width="21.1796875" style="449" customWidth="1"/>
    <col min="8699" max="8699" width="10.453125" style="449" customWidth="1"/>
    <col min="8700" max="8700" width="17.453125" style="449" customWidth="1"/>
    <col min="8701" max="8701" width="11.1796875" style="449" customWidth="1"/>
    <col min="8702" max="8702" width="17.453125" style="449" customWidth="1"/>
    <col min="8703" max="8703" width="9.453125" style="449" customWidth="1"/>
    <col min="8704" max="8704" width="17.453125" style="449" customWidth="1"/>
    <col min="8705" max="8705" width="10.453125" style="449" customWidth="1"/>
    <col min="8706" max="8706" width="19.453125" style="449" customWidth="1"/>
    <col min="8707" max="8707" width="17.453125" style="449" customWidth="1"/>
    <col min="8708" max="8708" width="43.81640625" style="449" customWidth="1"/>
    <col min="8709" max="8709" width="10.453125" style="449" customWidth="1"/>
    <col min="8710" max="8710" width="13.453125" style="449" customWidth="1"/>
    <col min="8711" max="8712" width="21.453125" style="449" customWidth="1"/>
    <col min="8713" max="8714" width="22" style="449" customWidth="1"/>
    <col min="8715" max="8715" width="22.453125" style="449" bestFit="1" customWidth="1"/>
    <col min="8716" max="8716" width="22.453125" style="449" customWidth="1"/>
    <col min="8717" max="8717" width="22.81640625" style="449" bestFit="1" customWidth="1"/>
    <col min="8718" max="8718" width="22.81640625" style="449" customWidth="1"/>
    <col min="8719" max="8719" width="19.453125" style="449" customWidth="1"/>
    <col min="8720" max="8720" width="8.81640625" style="449"/>
    <col min="8721" max="8721" width="17.453125" style="449" bestFit="1" customWidth="1"/>
    <col min="8722" max="8722" width="16" style="449" customWidth="1"/>
    <col min="8723" max="8724" width="17.453125" style="449" customWidth="1"/>
    <col min="8725" max="8725" width="16.453125" style="449" customWidth="1"/>
    <col min="8726" max="8726" width="8.81640625" style="449"/>
    <col min="8727" max="8727" width="22.453125" style="449" bestFit="1" customWidth="1"/>
    <col min="8728" max="8728" width="22.1796875" style="449" bestFit="1" customWidth="1"/>
    <col min="8729" max="8730" width="17.453125" style="449" customWidth="1"/>
    <col min="8731" max="8731" width="18.1796875" style="449" customWidth="1"/>
    <col min="8732" max="8909" width="8.81640625" style="449"/>
    <col min="8910" max="8910" width="1.453125" style="449" customWidth="1"/>
    <col min="8911" max="8911" width="51.453125" style="449" customWidth="1"/>
    <col min="8912" max="8912" width="12.453125" style="449" customWidth="1"/>
    <col min="8913" max="8913" width="21.453125" style="449" bestFit="1" customWidth="1"/>
    <col min="8914" max="8914" width="12.453125" style="449" customWidth="1"/>
    <col min="8915" max="8915" width="14.453125" style="449" customWidth="1"/>
    <col min="8916" max="8916" width="15.1796875" style="449" customWidth="1"/>
    <col min="8917" max="8917" width="12.453125" style="449" bestFit="1" customWidth="1"/>
    <col min="8918" max="8918" width="13" style="449" customWidth="1"/>
    <col min="8919" max="8919" width="14.54296875" style="449" customWidth="1"/>
    <col min="8920" max="8920" width="44.453125" style="449" customWidth="1"/>
    <col min="8921" max="8921" width="34.54296875" style="449" customWidth="1"/>
    <col min="8922" max="8922" width="37.453125" style="449" customWidth="1"/>
    <col min="8923" max="8923" width="19.81640625" style="449" customWidth="1"/>
    <col min="8924" max="8948" width="8.81640625" style="449"/>
    <col min="8949" max="8949" width="9.54296875" style="449" customWidth="1"/>
    <col min="8950" max="8950" width="50.54296875" style="449" customWidth="1"/>
    <col min="8951" max="8951" width="14.81640625" style="449" customWidth="1"/>
    <col min="8952" max="8952" width="15.54296875" style="449" customWidth="1"/>
    <col min="8953" max="8953" width="8.54296875" style="449" bestFit="1" customWidth="1"/>
    <col min="8954" max="8954" width="21.1796875" style="449" customWidth="1"/>
    <col min="8955" max="8955" width="10.453125" style="449" customWidth="1"/>
    <col min="8956" max="8956" width="17.453125" style="449" customWidth="1"/>
    <col min="8957" max="8957" width="11.1796875" style="449" customWidth="1"/>
    <col min="8958" max="8958" width="17.453125" style="449" customWidth="1"/>
    <col min="8959" max="8959" width="9.453125" style="449" customWidth="1"/>
    <col min="8960" max="8960" width="17.453125" style="449" customWidth="1"/>
    <col min="8961" max="8961" width="10.453125" style="449" customWidth="1"/>
    <col min="8962" max="8962" width="19.453125" style="449" customWidth="1"/>
    <col min="8963" max="8963" width="17.453125" style="449" customWidth="1"/>
    <col min="8964" max="8964" width="43.81640625" style="449" customWidth="1"/>
    <col min="8965" max="8965" width="10.453125" style="449" customWidth="1"/>
    <col min="8966" max="8966" width="13.453125" style="449" customWidth="1"/>
    <col min="8967" max="8968" width="21.453125" style="449" customWidth="1"/>
    <col min="8969" max="8970" width="22" style="449" customWidth="1"/>
    <col min="8971" max="8971" width="22.453125" style="449" bestFit="1" customWidth="1"/>
    <col min="8972" max="8972" width="22.453125" style="449" customWidth="1"/>
    <col min="8973" max="8973" width="22.81640625" style="449" bestFit="1" customWidth="1"/>
    <col min="8974" max="8974" width="22.81640625" style="449" customWidth="1"/>
    <col min="8975" max="8975" width="19.453125" style="449" customWidth="1"/>
    <col min="8976" max="8976" width="8.81640625" style="449"/>
    <col min="8977" max="8977" width="17.453125" style="449" bestFit="1" customWidth="1"/>
    <col min="8978" max="8978" width="16" style="449" customWidth="1"/>
    <col min="8979" max="8980" width="17.453125" style="449" customWidth="1"/>
    <col min="8981" max="8981" width="16.453125" style="449" customWidth="1"/>
    <col min="8982" max="8982" width="8.81640625" style="449"/>
    <col min="8983" max="8983" width="22.453125" style="449" bestFit="1" customWidth="1"/>
    <col min="8984" max="8984" width="22.1796875" style="449" bestFit="1" customWidth="1"/>
    <col min="8985" max="8986" width="17.453125" style="449" customWidth="1"/>
    <col min="8987" max="8987" width="18.1796875" style="449" customWidth="1"/>
    <col min="8988" max="9165" width="8.81640625" style="449"/>
    <col min="9166" max="9166" width="1.453125" style="449" customWidth="1"/>
    <col min="9167" max="9167" width="51.453125" style="449" customWidth="1"/>
    <col min="9168" max="9168" width="12.453125" style="449" customWidth="1"/>
    <col min="9169" max="9169" width="21.453125" style="449" bestFit="1" customWidth="1"/>
    <col min="9170" max="9170" width="12.453125" style="449" customWidth="1"/>
    <col min="9171" max="9171" width="14.453125" style="449" customWidth="1"/>
    <col min="9172" max="9172" width="15.1796875" style="449" customWidth="1"/>
    <col min="9173" max="9173" width="12.453125" style="449" bestFit="1" customWidth="1"/>
    <col min="9174" max="9174" width="13" style="449" customWidth="1"/>
    <col min="9175" max="9175" width="14.54296875" style="449" customWidth="1"/>
    <col min="9176" max="9176" width="44.453125" style="449" customWidth="1"/>
    <col min="9177" max="9177" width="34.54296875" style="449" customWidth="1"/>
    <col min="9178" max="9178" width="37.453125" style="449" customWidth="1"/>
    <col min="9179" max="9179" width="19.81640625" style="449" customWidth="1"/>
    <col min="9180" max="9204" width="8.81640625" style="449"/>
    <col min="9205" max="9205" width="9.54296875" style="449" customWidth="1"/>
    <col min="9206" max="9206" width="50.54296875" style="449" customWidth="1"/>
    <col min="9207" max="9207" width="14.81640625" style="449" customWidth="1"/>
    <col min="9208" max="9208" width="15.54296875" style="449" customWidth="1"/>
    <col min="9209" max="9209" width="8.54296875" style="449" bestFit="1" customWidth="1"/>
    <col min="9210" max="9210" width="21.1796875" style="449" customWidth="1"/>
    <col min="9211" max="9211" width="10.453125" style="449" customWidth="1"/>
    <col min="9212" max="9212" width="17.453125" style="449" customWidth="1"/>
    <col min="9213" max="9213" width="11.1796875" style="449" customWidth="1"/>
    <col min="9214" max="9214" width="17.453125" style="449" customWidth="1"/>
    <col min="9215" max="9215" width="9.453125" style="449" customWidth="1"/>
    <col min="9216" max="9216" width="17.453125" style="449" customWidth="1"/>
    <col min="9217" max="9217" width="10.453125" style="449" customWidth="1"/>
    <col min="9218" max="9218" width="19.453125" style="449" customWidth="1"/>
    <col min="9219" max="9219" width="17.453125" style="449" customWidth="1"/>
    <col min="9220" max="9220" width="43.81640625" style="449" customWidth="1"/>
    <col min="9221" max="9221" width="10.453125" style="449" customWidth="1"/>
    <col min="9222" max="9222" width="13.453125" style="449" customWidth="1"/>
    <col min="9223" max="9224" width="21.453125" style="449" customWidth="1"/>
    <col min="9225" max="9226" width="22" style="449" customWidth="1"/>
    <col min="9227" max="9227" width="22.453125" style="449" bestFit="1" customWidth="1"/>
    <col min="9228" max="9228" width="22.453125" style="449" customWidth="1"/>
    <col min="9229" max="9229" width="22.81640625" style="449" bestFit="1" customWidth="1"/>
    <col min="9230" max="9230" width="22.81640625" style="449" customWidth="1"/>
    <col min="9231" max="9231" width="19.453125" style="449" customWidth="1"/>
    <col min="9232" max="9232" width="8.81640625" style="449"/>
    <col min="9233" max="9233" width="17.453125" style="449" bestFit="1" customWidth="1"/>
    <col min="9234" max="9234" width="16" style="449" customWidth="1"/>
    <col min="9235" max="9236" width="17.453125" style="449" customWidth="1"/>
    <col min="9237" max="9237" width="16.453125" style="449" customWidth="1"/>
    <col min="9238" max="9238" width="8.81640625" style="449"/>
    <col min="9239" max="9239" width="22.453125" style="449" bestFit="1" customWidth="1"/>
    <col min="9240" max="9240" width="22.1796875" style="449" bestFit="1" customWidth="1"/>
    <col min="9241" max="9242" width="17.453125" style="449" customWidth="1"/>
    <col min="9243" max="9243" width="18.1796875" style="449" customWidth="1"/>
    <col min="9244" max="9421" width="8.81640625" style="449"/>
    <col min="9422" max="9422" width="1.453125" style="449" customWidth="1"/>
    <col min="9423" max="9423" width="51.453125" style="449" customWidth="1"/>
    <col min="9424" max="9424" width="12.453125" style="449" customWidth="1"/>
    <col min="9425" max="9425" width="21.453125" style="449" bestFit="1" customWidth="1"/>
    <col min="9426" max="9426" width="12.453125" style="449" customWidth="1"/>
    <col min="9427" max="9427" width="14.453125" style="449" customWidth="1"/>
    <col min="9428" max="9428" width="15.1796875" style="449" customWidth="1"/>
    <col min="9429" max="9429" width="12.453125" style="449" bestFit="1" customWidth="1"/>
    <col min="9430" max="9430" width="13" style="449" customWidth="1"/>
    <col min="9431" max="9431" width="14.54296875" style="449" customWidth="1"/>
    <col min="9432" max="9432" width="44.453125" style="449" customWidth="1"/>
    <col min="9433" max="9433" width="34.54296875" style="449" customWidth="1"/>
    <col min="9434" max="9434" width="37.453125" style="449" customWidth="1"/>
    <col min="9435" max="9435" width="19.81640625" style="449" customWidth="1"/>
    <col min="9436" max="9460" width="8.81640625" style="449"/>
    <col min="9461" max="9461" width="9.54296875" style="449" customWidth="1"/>
    <col min="9462" max="9462" width="50.54296875" style="449" customWidth="1"/>
    <col min="9463" max="9463" width="14.81640625" style="449" customWidth="1"/>
    <col min="9464" max="9464" width="15.54296875" style="449" customWidth="1"/>
    <col min="9465" max="9465" width="8.54296875" style="449" bestFit="1" customWidth="1"/>
    <col min="9466" max="9466" width="21.1796875" style="449" customWidth="1"/>
    <col min="9467" max="9467" width="10.453125" style="449" customWidth="1"/>
    <col min="9468" max="9468" width="17.453125" style="449" customWidth="1"/>
    <col min="9469" max="9469" width="11.1796875" style="449" customWidth="1"/>
    <col min="9470" max="9470" width="17.453125" style="449" customWidth="1"/>
    <col min="9471" max="9471" width="9.453125" style="449" customWidth="1"/>
    <col min="9472" max="9472" width="17.453125" style="449" customWidth="1"/>
    <col min="9473" max="9473" width="10.453125" style="449" customWidth="1"/>
    <col min="9474" max="9474" width="19.453125" style="449" customWidth="1"/>
    <col min="9475" max="9475" width="17.453125" style="449" customWidth="1"/>
    <col min="9476" max="9476" width="43.81640625" style="449" customWidth="1"/>
    <col min="9477" max="9477" width="10.453125" style="449" customWidth="1"/>
    <col min="9478" max="9478" width="13.453125" style="449" customWidth="1"/>
    <col min="9479" max="9480" width="21.453125" style="449" customWidth="1"/>
    <col min="9481" max="9482" width="22" style="449" customWidth="1"/>
    <col min="9483" max="9483" width="22.453125" style="449" bestFit="1" customWidth="1"/>
    <col min="9484" max="9484" width="22.453125" style="449" customWidth="1"/>
    <col min="9485" max="9485" width="22.81640625" style="449" bestFit="1" customWidth="1"/>
    <col min="9486" max="9486" width="22.81640625" style="449" customWidth="1"/>
    <col min="9487" max="9487" width="19.453125" style="449" customWidth="1"/>
    <col min="9488" max="9488" width="8.81640625" style="449"/>
    <col min="9489" max="9489" width="17.453125" style="449" bestFit="1" customWidth="1"/>
    <col min="9490" max="9490" width="16" style="449" customWidth="1"/>
    <col min="9491" max="9492" width="17.453125" style="449" customWidth="1"/>
    <col min="9493" max="9493" width="16.453125" style="449" customWidth="1"/>
    <col min="9494" max="9494" width="8.81640625" style="449"/>
    <col min="9495" max="9495" width="22.453125" style="449" bestFit="1" customWidth="1"/>
    <col min="9496" max="9496" width="22.1796875" style="449" bestFit="1" customWidth="1"/>
    <col min="9497" max="9498" width="17.453125" style="449" customWidth="1"/>
    <col min="9499" max="9499" width="18.1796875" style="449" customWidth="1"/>
    <col min="9500" max="9677" width="8.81640625" style="449"/>
    <col min="9678" max="9678" width="1.453125" style="449" customWidth="1"/>
    <col min="9679" max="9679" width="51.453125" style="449" customWidth="1"/>
    <col min="9680" max="9680" width="12.453125" style="449" customWidth="1"/>
    <col min="9681" max="9681" width="21.453125" style="449" bestFit="1" customWidth="1"/>
    <col min="9682" max="9682" width="12.453125" style="449" customWidth="1"/>
    <col min="9683" max="9683" width="14.453125" style="449" customWidth="1"/>
    <col min="9684" max="9684" width="15.1796875" style="449" customWidth="1"/>
    <col min="9685" max="9685" width="12.453125" style="449" bestFit="1" customWidth="1"/>
    <col min="9686" max="9686" width="13" style="449" customWidth="1"/>
    <col min="9687" max="9687" width="14.54296875" style="449" customWidth="1"/>
    <col min="9688" max="9688" width="44.453125" style="449" customWidth="1"/>
    <col min="9689" max="9689" width="34.54296875" style="449" customWidth="1"/>
    <col min="9690" max="9690" width="37.453125" style="449" customWidth="1"/>
    <col min="9691" max="9691" width="19.81640625" style="449" customWidth="1"/>
    <col min="9692" max="9716" width="8.81640625" style="449"/>
    <col min="9717" max="9717" width="9.54296875" style="449" customWidth="1"/>
    <col min="9718" max="9718" width="50.54296875" style="449" customWidth="1"/>
    <col min="9719" max="9719" width="14.81640625" style="449" customWidth="1"/>
    <col min="9720" max="9720" width="15.54296875" style="449" customWidth="1"/>
    <col min="9721" max="9721" width="8.54296875" style="449" bestFit="1" customWidth="1"/>
    <col min="9722" max="9722" width="21.1796875" style="449" customWidth="1"/>
    <col min="9723" max="9723" width="10.453125" style="449" customWidth="1"/>
    <col min="9724" max="9724" width="17.453125" style="449" customWidth="1"/>
    <col min="9725" max="9725" width="11.1796875" style="449" customWidth="1"/>
    <col min="9726" max="9726" width="17.453125" style="449" customWidth="1"/>
    <col min="9727" max="9727" width="9.453125" style="449" customWidth="1"/>
    <col min="9728" max="9728" width="17.453125" style="449" customWidth="1"/>
    <col min="9729" max="9729" width="10.453125" style="449" customWidth="1"/>
    <col min="9730" max="9730" width="19.453125" style="449" customWidth="1"/>
    <col min="9731" max="9731" width="17.453125" style="449" customWidth="1"/>
    <col min="9732" max="9732" width="43.81640625" style="449" customWidth="1"/>
    <col min="9733" max="9733" width="10.453125" style="449" customWidth="1"/>
    <col min="9734" max="9734" width="13.453125" style="449" customWidth="1"/>
    <col min="9735" max="9736" width="21.453125" style="449" customWidth="1"/>
    <col min="9737" max="9738" width="22" style="449" customWidth="1"/>
    <col min="9739" max="9739" width="22.453125" style="449" bestFit="1" customWidth="1"/>
    <col min="9740" max="9740" width="22.453125" style="449" customWidth="1"/>
    <col min="9741" max="9741" width="22.81640625" style="449" bestFit="1" customWidth="1"/>
    <col min="9742" max="9742" width="22.81640625" style="449" customWidth="1"/>
    <col min="9743" max="9743" width="19.453125" style="449" customWidth="1"/>
    <col min="9744" max="9744" width="8.81640625" style="449"/>
    <col min="9745" max="9745" width="17.453125" style="449" bestFit="1" customWidth="1"/>
    <col min="9746" max="9746" width="16" style="449" customWidth="1"/>
    <col min="9747" max="9748" width="17.453125" style="449" customWidth="1"/>
    <col min="9749" max="9749" width="16.453125" style="449" customWidth="1"/>
    <col min="9750" max="9750" width="8.81640625" style="449"/>
    <col min="9751" max="9751" width="22.453125" style="449" bestFit="1" customWidth="1"/>
    <col min="9752" max="9752" width="22.1796875" style="449" bestFit="1" customWidth="1"/>
    <col min="9753" max="9754" width="17.453125" style="449" customWidth="1"/>
    <col min="9755" max="9755" width="18.1796875" style="449" customWidth="1"/>
    <col min="9756" max="9933" width="8.81640625" style="449"/>
    <col min="9934" max="9934" width="1.453125" style="449" customWidth="1"/>
    <col min="9935" max="9935" width="51.453125" style="449" customWidth="1"/>
    <col min="9936" max="9936" width="12.453125" style="449" customWidth="1"/>
    <col min="9937" max="9937" width="21.453125" style="449" bestFit="1" customWidth="1"/>
    <col min="9938" max="9938" width="12.453125" style="449" customWidth="1"/>
    <col min="9939" max="9939" width="14.453125" style="449" customWidth="1"/>
    <col min="9940" max="9940" width="15.1796875" style="449" customWidth="1"/>
    <col min="9941" max="9941" width="12.453125" style="449" bestFit="1" customWidth="1"/>
    <col min="9942" max="9942" width="13" style="449" customWidth="1"/>
    <col min="9943" max="9943" width="14.54296875" style="449" customWidth="1"/>
    <col min="9944" max="9944" width="44.453125" style="449" customWidth="1"/>
    <col min="9945" max="9945" width="34.54296875" style="449" customWidth="1"/>
    <col min="9946" max="9946" width="37.453125" style="449" customWidth="1"/>
    <col min="9947" max="9947" width="19.81640625" style="449" customWidth="1"/>
    <col min="9948" max="9972" width="8.81640625" style="449"/>
    <col min="9973" max="9973" width="9.54296875" style="449" customWidth="1"/>
    <col min="9974" max="9974" width="50.54296875" style="449" customWidth="1"/>
    <col min="9975" max="9975" width="14.81640625" style="449" customWidth="1"/>
    <col min="9976" max="9976" width="15.54296875" style="449" customWidth="1"/>
    <col min="9977" max="9977" width="8.54296875" style="449" bestFit="1" customWidth="1"/>
    <col min="9978" max="9978" width="21.1796875" style="449" customWidth="1"/>
    <col min="9979" max="9979" width="10.453125" style="449" customWidth="1"/>
    <col min="9980" max="9980" width="17.453125" style="449" customWidth="1"/>
    <col min="9981" max="9981" width="11.1796875" style="449" customWidth="1"/>
    <col min="9982" max="9982" width="17.453125" style="449" customWidth="1"/>
    <col min="9983" max="9983" width="9.453125" style="449" customWidth="1"/>
    <col min="9984" max="9984" width="17.453125" style="449" customWidth="1"/>
    <col min="9985" max="9985" width="10.453125" style="449" customWidth="1"/>
    <col min="9986" max="9986" width="19.453125" style="449" customWidth="1"/>
    <col min="9987" max="9987" width="17.453125" style="449" customWidth="1"/>
    <col min="9988" max="9988" width="43.81640625" style="449" customWidth="1"/>
    <col min="9989" max="9989" width="10.453125" style="449" customWidth="1"/>
    <col min="9990" max="9990" width="13.453125" style="449" customWidth="1"/>
    <col min="9991" max="9992" width="21.453125" style="449" customWidth="1"/>
    <col min="9993" max="9994" width="22" style="449" customWidth="1"/>
    <col min="9995" max="9995" width="22.453125" style="449" bestFit="1" customWidth="1"/>
    <col min="9996" max="9996" width="22.453125" style="449" customWidth="1"/>
    <col min="9997" max="9997" width="22.81640625" style="449" bestFit="1" customWidth="1"/>
    <col min="9998" max="9998" width="22.81640625" style="449" customWidth="1"/>
    <col min="9999" max="9999" width="19.453125" style="449" customWidth="1"/>
    <col min="10000" max="10000" width="8.81640625" style="449"/>
    <col min="10001" max="10001" width="17.453125" style="449" bestFit="1" customWidth="1"/>
    <col min="10002" max="10002" width="16" style="449" customWidth="1"/>
    <col min="10003" max="10004" width="17.453125" style="449" customWidth="1"/>
    <col min="10005" max="10005" width="16.453125" style="449" customWidth="1"/>
    <col min="10006" max="10006" width="8.81640625" style="449"/>
    <col min="10007" max="10007" width="22.453125" style="449" bestFit="1" customWidth="1"/>
    <col min="10008" max="10008" width="22.1796875" style="449" bestFit="1" customWidth="1"/>
    <col min="10009" max="10010" width="17.453125" style="449" customWidth="1"/>
    <col min="10011" max="10011" width="18.1796875" style="449" customWidth="1"/>
    <col min="10012" max="10189" width="8.81640625" style="449"/>
    <col min="10190" max="10190" width="1.453125" style="449" customWidth="1"/>
    <col min="10191" max="10191" width="51.453125" style="449" customWidth="1"/>
    <col min="10192" max="10192" width="12.453125" style="449" customWidth="1"/>
    <col min="10193" max="10193" width="21.453125" style="449" bestFit="1" customWidth="1"/>
    <col min="10194" max="10194" width="12.453125" style="449" customWidth="1"/>
    <col min="10195" max="10195" width="14.453125" style="449" customWidth="1"/>
    <col min="10196" max="10196" width="15.1796875" style="449" customWidth="1"/>
    <col min="10197" max="10197" width="12.453125" style="449" bestFit="1" customWidth="1"/>
    <col min="10198" max="10198" width="13" style="449" customWidth="1"/>
    <col min="10199" max="10199" width="14.54296875" style="449" customWidth="1"/>
    <col min="10200" max="10200" width="44.453125" style="449" customWidth="1"/>
    <col min="10201" max="10201" width="34.54296875" style="449" customWidth="1"/>
    <col min="10202" max="10202" width="37.453125" style="449" customWidth="1"/>
    <col min="10203" max="10203" width="19.81640625" style="449" customWidth="1"/>
    <col min="10204" max="10228" width="8.81640625" style="449"/>
    <col min="10229" max="10229" width="9.54296875" style="449" customWidth="1"/>
    <col min="10230" max="10230" width="50.54296875" style="449" customWidth="1"/>
    <col min="10231" max="10231" width="14.81640625" style="449" customWidth="1"/>
    <col min="10232" max="10232" width="15.54296875" style="449" customWidth="1"/>
    <col min="10233" max="10233" width="8.54296875" style="449" bestFit="1" customWidth="1"/>
    <col min="10234" max="10234" width="21.1796875" style="449" customWidth="1"/>
    <col min="10235" max="10235" width="10.453125" style="449" customWidth="1"/>
    <col min="10236" max="10236" width="17.453125" style="449" customWidth="1"/>
    <col min="10237" max="10237" width="11.1796875" style="449" customWidth="1"/>
    <col min="10238" max="10238" width="17.453125" style="449" customWidth="1"/>
    <col min="10239" max="10239" width="9.453125" style="449" customWidth="1"/>
    <col min="10240" max="10240" width="17.453125" style="449" customWidth="1"/>
    <col min="10241" max="10241" width="10.453125" style="449" customWidth="1"/>
    <col min="10242" max="10242" width="19.453125" style="449" customWidth="1"/>
    <col min="10243" max="10243" width="17.453125" style="449" customWidth="1"/>
    <col min="10244" max="10244" width="43.81640625" style="449" customWidth="1"/>
    <col min="10245" max="10245" width="10.453125" style="449" customWidth="1"/>
    <col min="10246" max="10246" width="13.453125" style="449" customWidth="1"/>
    <col min="10247" max="10248" width="21.453125" style="449" customWidth="1"/>
    <col min="10249" max="10250" width="22" style="449" customWidth="1"/>
    <col min="10251" max="10251" width="22.453125" style="449" bestFit="1" customWidth="1"/>
    <col min="10252" max="10252" width="22.453125" style="449" customWidth="1"/>
    <col min="10253" max="10253" width="22.81640625" style="449" bestFit="1" customWidth="1"/>
    <col min="10254" max="10254" width="22.81640625" style="449" customWidth="1"/>
    <col min="10255" max="10255" width="19.453125" style="449" customWidth="1"/>
    <col min="10256" max="10256" width="8.81640625" style="449"/>
    <col min="10257" max="10257" width="17.453125" style="449" bestFit="1" customWidth="1"/>
    <col min="10258" max="10258" width="16" style="449" customWidth="1"/>
    <col min="10259" max="10260" width="17.453125" style="449" customWidth="1"/>
    <col min="10261" max="10261" width="16.453125" style="449" customWidth="1"/>
    <col min="10262" max="10262" width="8.81640625" style="449"/>
    <col min="10263" max="10263" width="22.453125" style="449" bestFit="1" customWidth="1"/>
    <col min="10264" max="10264" width="22.1796875" style="449" bestFit="1" customWidth="1"/>
    <col min="10265" max="10266" width="17.453125" style="449" customWidth="1"/>
    <col min="10267" max="10267" width="18.1796875" style="449" customWidth="1"/>
    <col min="10268" max="10445" width="8.81640625" style="449"/>
    <col min="10446" max="10446" width="1.453125" style="449" customWidth="1"/>
    <col min="10447" max="10447" width="51.453125" style="449" customWidth="1"/>
    <col min="10448" max="10448" width="12.453125" style="449" customWidth="1"/>
    <col min="10449" max="10449" width="21.453125" style="449" bestFit="1" customWidth="1"/>
    <col min="10450" max="10450" width="12.453125" style="449" customWidth="1"/>
    <col min="10451" max="10451" width="14.453125" style="449" customWidth="1"/>
    <col min="10452" max="10452" width="15.1796875" style="449" customWidth="1"/>
    <col min="10453" max="10453" width="12.453125" style="449" bestFit="1" customWidth="1"/>
    <col min="10454" max="10454" width="13" style="449" customWidth="1"/>
    <col min="10455" max="10455" width="14.54296875" style="449" customWidth="1"/>
    <col min="10456" max="10456" width="44.453125" style="449" customWidth="1"/>
    <col min="10457" max="10457" width="34.54296875" style="449" customWidth="1"/>
    <col min="10458" max="10458" width="37.453125" style="449" customWidth="1"/>
    <col min="10459" max="10459" width="19.81640625" style="449" customWidth="1"/>
    <col min="10460" max="10484" width="8.81640625" style="449"/>
    <col min="10485" max="10485" width="9.54296875" style="449" customWidth="1"/>
    <col min="10486" max="10486" width="50.54296875" style="449" customWidth="1"/>
    <col min="10487" max="10487" width="14.81640625" style="449" customWidth="1"/>
    <col min="10488" max="10488" width="15.54296875" style="449" customWidth="1"/>
    <col min="10489" max="10489" width="8.54296875" style="449" bestFit="1" customWidth="1"/>
    <col min="10490" max="10490" width="21.1796875" style="449" customWidth="1"/>
    <col min="10491" max="10491" width="10.453125" style="449" customWidth="1"/>
    <col min="10492" max="10492" width="17.453125" style="449" customWidth="1"/>
    <col min="10493" max="10493" width="11.1796875" style="449" customWidth="1"/>
    <col min="10494" max="10494" width="17.453125" style="449" customWidth="1"/>
    <col min="10495" max="10495" width="9.453125" style="449" customWidth="1"/>
    <col min="10496" max="10496" width="17.453125" style="449" customWidth="1"/>
    <col min="10497" max="10497" width="10.453125" style="449" customWidth="1"/>
    <col min="10498" max="10498" width="19.453125" style="449" customWidth="1"/>
    <col min="10499" max="10499" width="17.453125" style="449" customWidth="1"/>
    <col min="10500" max="10500" width="43.81640625" style="449" customWidth="1"/>
    <col min="10501" max="10501" width="10.453125" style="449" customWidth="1"/>
    <col min="10502" max="10502" width="13.453125" style="449" customWidth="1"/>
    <col min="10503" max="10504" width="21.453125" style="449" customWidth="1"/>
    <col min="10505" max="10506" width="22" style="449" customWidth="1"/>
    <col min="10507" max="10507" width="22.453125" style="449" bestFit="1" customWidth="1"/>
    <col min="10508" max="10508" width="22.453125" style="449" customWidth="1"/>
    <col min="10509" max="10509" width="22.81640625" style="449" bestFit="1" customWidth="1"/>
    <col min="10510" max="10510" width="22.81640625" style="449" customWidth="1"/>
    <col min="10511" max="10511" width="19.453125" style="449" customWidth="1"/>
    <col min="10512" max="10512" width="8.81640625" style="449"/>
    <col min="10513" max="10513" width="17.453125" style="449" bestFit="1" customWidth="1"/>
    <col min="10514" max="10514" width="16" style="449" customWidth="1"/>
    <col min="10515" max="10516" width="17.453125" style="449" customWidth="1"/>
    <col min="10517" max="10517" width="16.453125" style="449" customWidth="1"/>
    <col min="10518" max="10518" width="8.81640625" style="449"/>
    <col min="10519" max="10519" width="22.453125" style="449" bestFit="1" customWidth="1"/>
    <col min="10520" max="10520" width="22.1796875" style="449" bestFit="1" customWidth="1"/>
    <col min="10521" max="10522" width="17.453125" style="449" customWidth="1"/>
    <col min="10523" max="10523" width="18.1796875" style="449" customWidth="1"/>
    <col min="10524" max="10701" width="8.81640625" style="449"/>
    <col min="10702" max="10702" width="1.453125" style="449" customWidth="1"/>
    <col min="10703" max="10703" width="51.453125" style="449" customWidth="1"/>
    <col min="10704" max="10704" width="12.453125" style="449" customWidth="1"/>
    <col min="10705" max="10705" width="21.453125" style="449" bestFit="1" customWidth="1"/>
    <col min="10706" max="10706" width="12.453125" style="449" customWidth="1"/>
    <col min="10707" max="10707" width="14.453125" style="449" customWidth="1"/>
    <col min="10708" max="10708" width="15.1796875" style="449" customWidth="1"/>
    <col min="10709" max="10709" width="12.453125" style="449" bestFit="1" customWidth="1"/>
    <col min="10710" max="10710" width="13" style="449" customWidth="1"/>
    <col min="10711" max="10711" width="14.54296875" style="449" customWidth="1"/>
    <col min="10712" max="10712" width="44.453125" style="449" customWidth="1"/>
    <col min="10713" max="10713" width="34.54296875" style="449" customWidth="1"/>
    <col min="10714" max="10714" width="37.453125" style="449" customWidth="1"/>
    <col min="10715" max="10715" width="19.81640625" style="449" customWidth="1"/>
    <col min="10716" max="10740" width="8.81640625" style="449"/>
    <col min="10741" max="10741" width="9.54296875" style="449" customWidth="1"/>
    <col min="10742" max="10742" width="50.54296875" style="449" customWidth="1"/>
    <col min="10743" max="10743" width="14.81640625" style="449" customWidth="1"/>
    <col min="10744" max="10744" width="15.54296875" style="449" customWidth="1"/>
    <col min="10745" max="10745" width="8.54296875" style="449" bestFit="1" customWidth="1"/>
    <col min="10746" max="10746" width="21.1796875" style="449" customWidth="1"/>
    <col min="10747" max="10747" width="10.453125" style="449" customWidth="1"/>
    <col min="10748" max="10748" width="17.453125" style="449" customWidth="1"/>
    <col min="10749" max="10749" width="11.1796875" style="449" customWidth="1"/>
    <col min="10750" max="10750" width="17.453125" style="449" customWidth="1"/>
    <col min="10751" max="10751" width="9.453125" style="449" customWidth="1"/>
    <col min="10752" max="10752" width="17.453125" style="449" customWidth="1"/>
    <col min="10753" max="10753" width="10.453125" style="449" customWidth="1"/>
    <col min="10754" max="10754" width="19.453125" style="449" customWidth="1"/>
    <col min="10755" max="10755" width="17.453125" style="449" customWidth="1"/>
    <col min="10756" max="10756" width="43.81640625" style="449" customWidth="1"/>
    <col min="10757" max="10757" width="10.453125" style="449" customWidth="1"/>
    <col min="10758" max="10758" width="13.453125" style="449" customWidth="1"/>
    <col min="10759" max="10760" width="21.453125" style="449" customWidth="1"/>
    <col min="10761" max="10762" width="22" style="449" customWidth="1"/>
    <col min="10763" max="10763" width="22.453125" style="449" bestFit="1" customWidth="1"/>
    <col min="10764" max="10764" width="22.453125" style="449" customWidth="1"/>
    <col min="10765" max="10765" width="22.81640625" style="449" bestFit="1" customWidth="1"/>
    <col min="10766" max="10766" width="22.81640625" style="449" customWidth="1"/>
    <col min="10767" max="10767" width="19.453125" style="449" customWidth="1"/>
    <col min="10768" max="10768" width="8.81640625" style="449"/>
    <col min="10769" max="10769" width="17.453125" style="449" bestFit="1" customWidth="1"/>
    <col min="10770" max="10770" width="16" style="449" customWidth="1"/>
    <col min="10771" max="10772" width="17.453125" style="449" customWidth="1"/>
    <col min="10773" max="10773" width="16.453125" style="449" customWidth="1"/>
    <col min="10774" max="10774" width="8.81640625" style="449"/>
    <col min="10775" max="10775" width="22.453125" style="449" bestFit="1" customWidth="1"/>
    <col min="10776" max="10776" width="22.1796875" style="449" bestFit="1" customWidth="1"/>
    <col min="10777" max="10778" width="17.453125" style="449" customWidth="1"/>
    <col min="10779" max="10779" width="18.1796875" style="449" customWidth="1"/>
    <col min="10780" max="10957" width="8.81640625" style="449"/>
    <col min="10958" max="10958" width="1.453125" style="449" customWidth="1"/>
    <col min="10959" max="10959" width="51.453125" style="449" customWidth="1"/>
    <col min="10960" max="10960" width="12.453125" style="449" customWidth="1"/>
    <col min="10961" max="10961" width="21.453125" style="449" bestFit="1" customWidth="1"/>
    <col min="10962" max="10962" width="12.453125" style="449" customWidth="1"/>
    <col min="10963" max="10963" width="14.453125" style="449" customWidth="1"/>
    <col min="10964" max="10964" width="15.1796875" style="449" customWidth="1"/>
    <col min="10965" max="10965" width="12.453125" style="449" bestFit="1" customWidth="1"/>
    <col min="10966" max="10966" width="13" style="449" customWidth="1"/>
    <col min="10967" max="10967" width="14.54296875" style="449" customWidth="1"/>
    <col min="10968" max="10968" width="44.453125" style="449" customWidth="1"/>
    <col min="10969" max="10969" width="34.54296875" style="449" customWidth="1"/>
    <col min="10970" max="10970" width="37.453125" style="449" customWidth="1"/>
    <col min="10971" max="10971" width="19.81640625" style="449" customWidth="1"/>
    <col min="10972" max="10996" width="8.81640625" style="449"/>
    <col min="10997" max="10997" width="9.54296875" style="449" customWidth="1"/>
    <col min="10998" max="10998" width="50.54296875" style="449" customWidth="1"/>
    <col min="10999" max="10999" width="14.81640625" style="449" customWidth="1"/>
    <col min="11000" max="11000" width="15.54296875" style="449" customWidth="1"/>
    <col min="11001" max="11001" width="8.54296875" style="449" bestFit="1" customWidth="1"/>
    <col min="11002" max="11002" width="21.1796875" style="449" customWidth="1"/>
    <col min="11003" max="11003" width="10.453125" style="449" customWidth="1"/>
    <col min="11004" max="11004" width="17.453125" style="449" customWidth="1"/>
    <col min="11005" max="11005" width="11.1796875" style="449" customWidth="1"/>
    <col min="11006" max="11006" width="17.453125" style="449" customWidth="1"/>
    <col min="11007" max="11007" width="9.453125" style="449" customWidth="1"/>
    <col min="11008" max="11008" width="17.453125" style="449" customWidth="1"/>
    <col min="11009" max="11009" width="10.453125" style="449" customWidth="1"/>
    <col min="11010" max="11010" width="19.453125" style="449" customWidth="1"/>
    <col min="11011" max="11011" width="17.453125" style="449" customWidth="1"/>
    <col min="11012" max="11012" width="43.81640625" style="449" customWidth="1"/>
    <col min="11013" max="11013" width="10.453125" style="449" customWidth="1"/>
    <col min="11014" max="11014" width="13.453125" style="449" customWidth="1"/>
    <col min="11015" max="11016" width="21.453125" style="449" customWidth="1"/>
    <col min="11017" max="11018" width="22" style="449" customWidth="1"/>
    <col min="11019" max="11019" width="22.453125" style="449" bestFit="1" customWidth="1"/>
    <col min="11020" max="11020" width="22.453125" style="449" customWidth="1"/>
    <col min="11021" max="11021" width="22.81640625" style="449" bestFit="1" customWidth="1"/>
    <col min="11022" max="11022" width="22.81640625" style="449" customWidth="1"/>
    <col min="11023" max="11023" width="19.453125" style="449" customWidth="1"/>
    <col min="11024" max="11024" width="8.81640625" style="449"/>
    <col min="11025" max="11025" width="17.453125" style="449" bestFit="1" customWidth="1"/>
    <col min="11026" max="11026" width="16" style="449" customWidth="1"/>
    <col min="11027" max="11028" width="17.453125" style="449" customWidth="1"/>
    <col min="11029" max="11029" width="16.453125" style="449" customWidth="1"/>
    <col min="11030" max="11030" width="8.81640625" style="449"/>
    <col min="11031" max="11031" width="22.453125" style="449" bestFit="1" customWidth="1"/>
    <col min="11032" max="11032" width="22.1796875" style="449" bestFit="1" customWidth="1"/>
    <col min="11033" max="11034" width="17.453125" style="449" customWidth="1"/>
    <col min="11035" max="11035" width="18.1796875" style="449" customWidth="1"/>
    <col min="11036" max="11213" width="8.81640625" style="449"/>
    <col min="11214" max="11214" width="1.453125" style="449" customWidth="1"/>
    <col min="11215" max="11215" width="51.453125" style="449" customWidth="1"/>
    <col min="11216" max="11216" width="12.453125" style="449" customWidth="1"/>
    <col min="11217" max="11217" width="21.453125" style="449" bestFit="1" customWidth="1"/>
    <col min="11218" max="11218" width="12.453125" style="449" customWidth="1"/>
    <col min="11219" max="11219" width="14.453125" style="449" customWidth="1"/>
    <col min="11220" max="11220" width="15.1796875" style="449" customWidth="1"/>
    <col min="11221" max="11221" width="12.453125" style="449" bestFit="1" customWidth="1"/>
    <col min="11222" max="11222" width="13" style="449" customWidth="1"/>
    <col min="11223" max="11223" width="14.54296875" style="449" customWidth="1"/>
    <col min="11224" max="11224" width="44.453125" style="449" customWidth="1"/>
    <col min="11225" max="11225" width="34.54296875" style="449" customWidth="1"/>
    <col min="11226" max="11226" width="37.453125" style="449" customWidth="1"/>
    <col min="11227" max="11227" width="19.81640625" style="449" customWidth="1"/>
    <col min="11228" max="11252" width="8.81640625" style="449"/>
    <col min="11253" max="11253" width="9.54296875" style="449" customWidth="1"/>
    <col min="11254" max="11254" width="50.54296875" style="449" customWidth="1"/>
    <col min="11255" max="11255" width="14.81640625" style="449" customWidth="1"/>
    <col min="11256" max="11256" width="15.54296875" style="449" customWidth="1"/>
    <col min="11257" max="11257" width="8.54296875" style="449" bestFit="1" customWidth="1"/>
    <col min="11258" max="11258" width="21.1796875" style="449" customWidth="1"/>
    <col min="11259" max="11259" width="10.453125" style="449" customWidth="1"/>
    <col min="11260" max="11260" width="17.453125" style="449" customWidth="1"/>
    <col min="11261" max="11261" width="11.1796875" style="449" customWidth="1"/>
    <col min="11262" max="11262" width="17.453125" style="449" customWidth="1"/>
    <col min="11263" max="11263" width="9.453125" style="449" customWidth="1"/>
    <col min="11264" max="11264" width="17.453125" style="449" customWidth="1"/>
    <col min="11265" max="11265" width="10.453125" style="449" customWidth="1"/>
    <col min="11266" max="11266" width="19.453125" style="449" customWidth="1"/>
    <col min="11267" max="11267" width="17.453125" style="449" customWidth="1"/>
    <col min="11268" max="11268" width="43.81640625" style="449" customWidth="1"/>
    <col min="11269" max="11269" width="10.453125" style="449" customWidth="1"/>
    <col min="11270" max="11270" width="13.453125" style="449" customWidth="1"/>
    <col min="11271" max="11272" width="21.453125" style="449" customWidth="1"/>
    <col min="11273" max="11274" width="22" style="449" customWidth="1"/>
    <col min="11275" max="11275" width="22.453125" style="449" bestFit="1" customWidth="1"/>
    <col min="11276" max="11276" width="22.453125" style="449" customWidth="1"/>
    <col min="11277" max="11277" width="22.81640625" style="449" bestFit="1" customWidth="1"/>
    <col min="11278" max="11278" width="22.81640625" style="449" customWidth="1"/>
    <col min="11279" max="11279" width="19.453125" style="449" customWidth="1"/>
    <col min="11280" max="11280" width="8.81640625" style="449"/>
    <col min="11281" max="11281" width="17.453125" style="449" bestFit="1" customWidth="1"/>
    <col min="11282" max="11282" width="16" style="449" customWidth="1"/>
    <col min="11283" max="11284" width="17.453125" style="449" customWidth="1"/>
    <col min="11285" max="11285" width="16.453125" style="449" customWidth="1"/>
    <col min="11286" max="11286" width="8.81640625" style="449"/>
    <col min="11287" max="11287" width="22.453125" style="449" bestFit="1" customWidth="1"/>
    <col min="11288" max="11288" width="22.1796875" style="449" bestFit="1" customWidth="1"/>
    <col min="11289" max="11290" width="17.453125" style="449" customWidth="1"/>
    <col min="11291" max="11291" width="18.1796875" style="449" customWidth="1"/>
    <col min="11292" max="11469" width="8.81640625" style="449"/>
    <col min="11470" max="11470" width="1.453125" style="449" customWidth="1"/>
    <col min="11471" max="11471" width="51.453125" style="449" customWidth="1"/>
    <col min="11472" max="11472" width="12.453125" style="449" customWidth="1"/>
    <col min="11473" max="11473" width="21.453125" style="449" bestFit="1" customWidth="1"/>
    <col min="11474" max="11474" width="12.453125" style="449" customWidth="1"/>
    <col min="11475" max="11475" width="14.453125" style="449" customWidth="1"/>
    <col min="11476" max="11476" width="15.1796875" style="449" customWidth="1"/>
    <col min="11477" max="11477" width="12.453125" style="449" bestFit="1" customWidth="1"/>
    <col min="11478" max="11478" width="13" style="449" customWidth="1"/>
    <col min="11479" max="11479" width="14.54296875" style="449" customWidth="1"/>
    <col min="11480" max="11480" width="44.453125" style="449" customWidth="1"/>
    <col min="11481" max="11481" width="34.54296875" style="449" customWidth="1"/>
    <col min="11482" max="11482" width="37.453125" style="449" customWidth="1"/>
    <col min="11483" max="11483" width="19.81640625" style="449" customWidth="1"/>
    <col min="11484" max="11508" width="8.81640625" style="449"/>
    <col min="11509" max="11509" width="9.54296875" style="449" customWidth="1"/>
    <col min="11510" max="11510" width="50.54296875" style="449" customWidth="1"/>
    <col min="11511" max="11511" width="14.81640625" style="449" customWidth="1"/>
    <col min="11512" max="11512" width="15.54296875" style="449" customWidth="1"/>
    <col min="11513" max="11513" width="8.54296875" style="449" bestFit="1" customWidth="1"/>
    <col min="11514" max="11514" width="21.1796875" style="449" customWidth="1"/>
    <col min="11515" max="11515" width="10.453125" style="449" customWidth="1"/>
    <col min="11516" max="11516" width="17.453125" style="449" customWidth="1"/>
    <col min="11517" max="11517" width="11.1796875" style="449" customWidth="1"/>
    <col min="11518" max="11518" width="17.453125" style="449" customWidth="1"/>
    <col min="11519" max="11519" width="9.453125" style="449" customWidth="1"/>
    <col min="11520" max="11520" width="17.453125" style="449" customWidth="1"/>
    <col min="11521" max="11521" width="10.453125" style="449" customWidth="1"/>
    <col min="11522" max="11522" width="19.453125" style="449" customWidth="1"/>
    <col min="11523" max="11523" width="17.453125" style="449" customWidth="1"/>
    <col min="11524" max="11524" width="43.81640625" style="449" customWidth="1"/>
    <col min="11525" max="11525" width="10.453125" style="449" customWidth="1"/>
    <col min="11526" max="11526" width="13.453125" style="449" customWidth="1"/>
    <col min="11527" max="11528" width="21.453125" style="449" customWidth="1"/>
    <col min="11529" max="11530" width="22" style="449" customWidth="1"/>
    <col min="11531" max="11531" width="22.453125" style="449" bestFit="1" customWidth="1"/>
    <col min="11532" max="11532" width="22.453125" style="449" customWidth="1"/>
    <col min="11533" max="11533" width="22.81640625" style="449" bestFit="1" customWidth="1"/>
    <col min="11534" max="11534" width="22.81640625" style="449" customWidth="1"/>
    <col min="11535" max="11535" width="19.453125" style="449" customWidth="1"/>
    <col min="11536" max="11536" width="8.81640625" style="449"/>
    <col min="11537" max="11537" width="17.453125" style="449" bestFit="1" customWidth="1"/>
    <col min="11538" max="11538" width="16" style="449" customWidth="1"/>
    <col min="11539" max="11540" width="17.453125" style="449" customWidth="1"/>
    <col min="11541" max="11541" width="16.453125" style="449" customWidth="1"/>
    <col min="11542" max="11542" width="8.81640625" style="449"/>
    <col min="11543" max="11543" width="22.453125" style="449" bestFit="1" customWidth="1"/>
    <col min="11544" max="11544" width="22.1796875" style="449" bestFit="1" customWidth="1"/>
    <col min="11545" max="11546" width="17.453125" style="449" customWidth="1"/>
    <col min="11547" max="11547" width="18.1796875" style="449" customWidth="1"/>
    <col min="11548" max="11725" width="8.81640625" style="449"/>
    <col min="11726" max="11726" width="1.453125" style="449" customWidth="1"/>
    <col min="11727" max="11727" width="51.453125" style="449" customWidth="1"/>
    <col min="11728" max="11728" width="12.453125" style="449" customWidth="1"/>
    <col min="11729" max="11729" width="21.453125" style="449" bestFit="1" customWidth="1"/>
    <col min="11730" max="11730" width="12.453125" style="449" customWidth="1"/>
    <col min="11731" max="11731" width="14.453125" style="449" customWidth="1"/>
    <col min="11732" max="11732" width="15.1796875" style="449" customWidth="1"/>
    <col min="11733" max="11733" width="12.453125" style="449" bestFit="1" customWidth="1"/>
    <col min="11734" max="11734" width="13" style="449" customWidth="1"/>
    <col min="11735" max="11735" width="14.54296875" style="449" customWidth="1"/>
    <col min="11736" max="11736" width="44.453125" style="449" customWidth="1"/>
    <col min="11737" max="11737" width="34.54296875" style="449" customWidth="1"/>
    <col min="11738" max="11738" width="37.453125" style="449" customWidth="1"/>
    <col min="11739" max="11739" width="19.81640625" style="449" customWidth="1"/>
    <col min="11740" max="11764" width="8.81640625" style="449"/>
    <col min="11765" max="11765" width="9.54296875" style="449" customWidth="1"/>
    <col min="11766" max="11766" width="50.54296875" style="449" customWidth="1"/>
    <col min="11767" max="11767" width="14.81640625" style="449" customWidth="1"/>
    <col min="11768" max="11768" width="15.54296875" style="449" customWidth="1"/>
    <col min="11769" max="11769" width="8.54296875" style="449" bestFit="1" customWidth="1"/>
    <col min="11770" max="11770" width="21.1796875" style="449" customWidth="1"/>
    <col min="11771" max="11771" width="10.453125" style="449" customWidth="1"/>
    <col min="11772" max="11772" width="17.453125" style="449" customWidth="1"/>
    <col min="11773" max="11773" width="11.1796875" style="449" customWidth="1"/>
    <col min="11774" max="11774" width="17.453125" style="449" customWidth="1"/>
    <col min="11775" max="11775" width="9.453125" style="449" customWidth="1"/>
    <col min="11776" max="11776" width="17.453125" style="449" customWidth="1"/>
    <col min="11777" max="11777" width="10.453125" style="449" customWidth="1"/>
    <col min="11778" max="11778" width="19.453125" style="449" customWidth="1"/>
    <col min="11779" max="11779" width="17.453125" style="449" customWidth="1"/>
    <col min="11780" max="11780" width="43.81640625" style="449" customWidth="1"/>
    <col min="11781" max="11781" width="10.453125" style="449" customWidth="1"/>
    <col min="11782" max="11782" width="13.453125" style="449" customWidth="1"/>
    <col min="11783" max="11784" width="21.453125" style="449" customWidth="1"/>
    <col min="11785" max="11786" width="22" style="449" customWidth="1"/>
    <col min="11787" max="11787" width="22.453125" style="449" bestFit="1" customWidth="1"/>
    <col min="11788" max="11788" width="22.453125" style="449" customWidth="1"/>
    <col min="11789" max="11789" width="22.81640625" style="449" bestFit="1" customWidth="1"/>
    <col min="11790" max="11790" width="22.81640625" style="449" customWidth="1"/>
    <col min="11791" max="11791" width="19.453125" style="449" customWidth="1"/>
    <col min="11792" max="11792" width="8.81640625" style="449"/>
    <col min="11793" max="11793" width="17.453125" style="449" bestFit="1" customWidth="1"/>
    <col min="11794" max="11794" width="16" style="449" customWidth="1"/>
    <col min="11795" max="11796" width="17.453125" style="449" customWidth="1"/>
    <col min="11797" max="11797" width="16.453125" style="449" customWidth="1"/>
    <col min="11798" max="11798" width="8.81640625" style="449"/>
    <col min="11799" max="11799" width="22.453125" style="449" bestFit="1" customWidth="1"/>
    <col min="11800" max="11800" width="22.1796875" style="449" bestFit="1" customWidth="1"/>
    <col min="11801" max="11802" width="17.453125" style="449" customWidth="1"/>
    <col min="11803" max="11803" width="18.1796875" style="449" customWidth="1"/>
    <col min="11804" max="11981" width="8.81640625" style="449"/>
    <col min="11982" max="11982" width="1.453125" style="449" customWidth="1"/>
    <col min="11983" max="11983" width="51.453125" style="449" customWidth="1"/>
    <col min="11984" max="11984" width="12.453125" style="449" customWidth="1"/>
    <col min="11985" max="11985" width="21.453125" style="449" bestFit="1" customWidth="1"/>
    <col min="11986" max="11986" width="12.453125" style="449" customWidth="1"/>
    <col min="11987" max="11987" width="14.453125" style="449" customWidth="1"/>
    <col min="11988" max="11988" width="15.1796875" style="449" customWidth="1"/>
    <col min="11989" max="11989" width="12.453125" style="449" bestFit="1" customWidth="1"/>
    <col min="11990" max="11990" width="13" style="449" customWidth="1"/>
    <col min="11991" max="11991" width="14.54296875" style="449" customWidth="1"/>
    <col min="11992" max="11992" width="44.453125" style="449" customWidth="1"/>
    <col min="11993" max="11993" width="34.54296875" style="449" customWidth="1"/>
    <col min="11994" max="11994" width="37.453125" style="449" customWidth="1"/>
    <col min="11995" max="11995" width="19.81640625" style="449" customWidth="1"/>
    <col min="11996" max="12020" width="8.81640625" style="449"/>
    <col min="12021" max="12021" width="9.54296875" style="449" customWidth="1"/>
    <col min="12022" max="12022" width="50.54296875" style="449" customWidth="1"/>
    <col min="12023" max="12023" width="14.81640625" style="449" customWidth="1"/>
    <col min="12024" max="12024" width="15.54296875" style="449" customWidth="1"/>
    <col min="12025" max="12025" width="8.54296875" style="449" bestFit="1" customWidth="1"/>
    <col min="12026" max="12026" width="21.1796875" style="449" customWidth="1"/>
    <col min="12027" max="12027" width="10.453125" style="449" customWidth="1"/>
    <col min="12028" max="12028" width="17.453125" style="449" customWidth="1"/>
    <col min="12029" max="12029" width="11.1796875" style="449" customWidth="1"/>
    <col min="12030" max="12030" width="17.453125" style="449" customWidth="1"/>
    <col min="12031" max="12031" width="9.453125" style="449" customWidth="1"/>
    <col min="12032" max="12032" width="17.453125" style="449" customWidth="1"/>
    <col min="12033" max="12033" width="10.453125" style="449" customWidth="1"/>
    <col min="12034" max="12034" width="19.453125" style="449" customWidth="1"/>
    <col min="12035" max="12035" width="17.453125" style="449" customWidth="1"/>
    <col min="12036" max="12036" width="43.81640625" style="449" customWidth="1"/>
    <col min="12037" max="12037" width="10.453125" style="449" customWidth="1"/>
    <col min="12038" max="12038" width="13.453125" style="449" customWidth="1"/>
    <col min="12039" max="12040" width="21.453125" style="449" customWidth="1"/>
    <col min="12041" max="12042" width="22" style="449" customWidth="1"/>
    <col min="12043" max="12043" width="22.453125" style="449" bestFit="1" customWidth="1"/>
    <col min="12044" max="12044" width="22.453125" style="449" customWidth="1"/>
    <col min="12045" max="12045" width="22.81640625" style="449" bestFit="1" customWidth="1"/>
    <col min="12046" max="12046" width="22.81640625" style="449" customWidth="1"/>
    <col min="12047" max="12047" width="19.453125" style="449" customWidth="1"/>
    <col min="12048" max="12048" width="8.81640625" style="449"/>
    <col min="12049" max="12049" width="17.453125" style="449" bestFit="1" customWidth="1"/>
    <col min="12050" max="12050" width="16" style="449" customWidth="1"/>
    <col min="12051" max="12052" width="17.453125" style="449" customWidth="1"/>
    <col min="12053" max="12053" width="16.453125" style="449" customWidth="1"/>
    <col min="12054" max="12054" width="8.81640625" style="449"/>
    <col min="12055" max="12055" width="22.453125" style="449" bestFit="1" customWidth="1"/>
    <col min="12056" max="12056" width="22.1796875" style="449" bestFit="1" customWidth="1"/>
    <col min="12057" max="12058" width="17.453125" style="449" customWidth="1"/>
    <col min="12059" max="12059" width="18.1796875" style="449" customWidth="1"/>
    <col min="12060" max="12237" width="8.81640625" style="449"/>
    <col min="12238" max="12238" width="1.453125" style="449" customWidth="1"/>
    <col min="12239" max="12239" width="51.453125" style="449" customWidth="1"/>
    <col min="12240" max="12240" width="12.453125" style="449" customWidth="1"/>
    <col min="12241" max="12241" width="21.453125" style="449" bestFit="1" customWidth="1"/>
    <col min="12242" max="12242" width="12.453125" style="449" customWidth="1"/>
    <col min="12243" max="12243" width="14.453125" style="449" customWidth="1"/>
    <col min="12244" max="12244" width="15.1796875" style="449" customWidth="1"/>
    <col min="12245" max="12245" width="12.453125" style="449" bestFit="1" customWidth="1"/>
    <col min="12246" max="12246" width="13" style="449" customWidth="1"/>
    <col min="12247" max="12247" width="14.54296875" style="449" customWidth="1"/>
    <col min="12248" max="12248" width="44.453125" style="449" customWidth="1"/>
    <col min="12249" max="12249" width="34.54296875" style="449" customWidth="1"/>
    <col min="12250" max="12250" width="37.453125" style="449" customWidth="1"/>
    <col min="12251" max="12251" width="19.81640625" style="449" customWidth="1"/>
    <col min="12252" max="12276" width="8.81640625" style="449"/>
    <col min="12277" max="12277" width="9.54296875" style="449" customWidth="1"/>
    <col min="12278" max="12278" width="50.54296875" style="449" customWidth="1"/>
    <col min="12279" max="12279" width="14.81640625" style="449" customWidth="1"/>
    <col min="12280" max="12280" width="15.54296875" style="449" customWidth="1"/>
    <col min="12281" max="12281" width="8.54296875" style="449" bestFit="1" customWidth="1"/>
    <col min="12282" max="12282" width="21.1796875" style="449" customWidth="1"/>
    <col min="12283" max="12283" width="10.453125" style="449" customWidth="1"/>
    <col min="12284" max="12284" width="17.453125" style="449" customWidth="1"/>
    <col min="12285" max="12285" width="11.1796875" style="449" customWidth="1"/>
    <col min="12286" max="12286" width="17.453125" style="449" customWidth="1"/>
    <col min="12287" max="12287" width="9.453125" style="449" customWidth="1"/>
    <col min="12288" max="12288" width="17.453125" style="449" customWidth="1"/>
    <col min="12289" max="12289" width="10.453125" style="449" customWidth="1"/>
    <col min="12290" max="12290" width="19.453125" style="449" customWidth="1"/>
    <col min="12291" max="12291" width="17.453125" style="449" customWidth="1"/>
    <col min="12292" max="12292" width="43.81640625" style="449" customWidth="1"/>
    <col min="12293" max="12293" width="10.453125" style="449" customWidth="1"/>
    <col min="12294" max="12294" width="13.453125" style="449" customWidth="1"/>
    <col min="12295" max="12296" width="21.453125" style="449" customWidth="1"/>
    <col min="12297" max="12298" width="22" style="449" customWidth="1"/>
    <col min="12299" max="12299" width="22.453125" style="449" bestFit="1" customWidth="1"/>
    <col min="12300" max="12300" width="22.453125" style="449" customWidth="1"/>
    <col min="12301" max="12301" width="22.81640625" style="449" bestFit="1" customWidth="1"/>
    <col min="12302" max="12302" width="22.81640625" style="449" customWidth="1"/>
    <col min="12303" max="12303" width="19.453125" style="449" customWidth="1"/>
    <col min="12304" max="12304" width="8.81640625" style="449"/>
    <col min="12305" max="12305" width="17.453125" style="449" bestFit="1" customWidth="1"/>
    <col min="12306" max="12306" width="16" style="449" customWidth="1"/>
    <col min="12307" max="12308" width="17.453125" style="449" customWidth="1"/>
    <col min="12309" max="12309" width="16.453125" style="449" customWidth="1"/>
    <col min="12310" max="12310" width="8.81640625" style="449"/>
    <col min="12311" max="12311" width="22.453125" style="449" bestFit="1" customWidth="1"/>
    <col min="12312" max="12312" width="22.1796875" style="449" bestFit="1" customWidth="1"/>
    <col min="12313" max="12314" width="17.453125" style="449" customWidth="1"/>
    <col min="12315" max="12315" width="18.1796875" style="449" customWidth="1"/>
    <col min="12316" max="12493" width="8.81640625" style="449"/>
    <col min="12494" max="12494" width="1.453125" style="449" customWidth="1"/>
    <col min="12495" max="12495" width="51.453125" style="449" customWidth="1"/>
    <col min="12496" max="12496" width="12.453125" style="449" customWidth="1"/>
    <col min="12497" max="12497" width="21.453125" style="449" bestFit="1" customWidth="1"/>
    <col min="12498" max="12498" width="12.453125" style="449" customWidth="1"/>
    <col min="12499" max="12499" width="14.453125" style="449" customWidth="1"/>
    <col min="12500" max="12500" width="15.1796875" style="449" customWidth="1"/>
    <col min="12501" max="12501" width="12.453125" style="449" bestFit="1" customWidth="1"/>
    <col min="12502" max="12502" width="13" style="449" customWidth="1"/>
    <col min="12503" max="12503" width="14.54296875" style="449" customWidth="1"/>
    <col min="12504" max="12504" width="44.453125" style="449" customWidth="1"/>
    <col min="12505" max="12505" width="34.54296875" style="449" customWidth="1"/>
    <col min="12506" max="12506" width="37.453125" style="449" customWidth="1"/>
    <col min="12507" max="12507" width="19.81640625" style="449" customWidth="1"/>
    <col min="12508" max="12532" width="8.81640625" style="449"/>
    <col min="12533" max="12533" width="9.54296875" style="449" customWidth="1"/>
    <col min="12534" max="12534" width="50.54296875" style="449" customWidth="1"/>
    <col min="12535" max="12535" width="14.81640625" style="449" customWidth="1"/>
    <col min="12536" max="12536" width="15.54296875" style="449" customWidth="1"/>
    <col min="12537" max="12537" width="8.54296875" style="449" bestFit="1" customWidth="1"/>
    <col min="12538" max="12538" width="21.1796875" style="449" customWidth="1"/>
    <col min="12539" max="12539" width="10.453125" style="449" customWidth="1"/>
    <col min="12540" max="12540" width="17.453125" style="449" customWidth="1"/>
    <col min="12541" max="12541" width="11.1796875" style="449" customWidth="1"/>
    <col min="12542" max="12542" width="17.453125" style="449" customWidth="1"/>
    <col min="12543" max="12543" width="9.453125" style="449" customWidth="1"/>
    <col min="12544" max="12544" width="17.453125" style="449" customWidth="1"/>
    <col min="12545" max="12545" width="10.453125" style="449" customWidth="1"/>
    <col min="12546" max="12546" width="19.453125" style="449" customWidth="1"/>
    <col min="12547" max="12547" width="17.453125" style="449" customWidth="1"/>
    <col min="12548" max="12548" width="43.81640625" style="449" customWidth="1"/>
    <col min="12549" max="12549" width="10.453125" style="449" customWidth="1"/>
    <col min="12550" max="12550" width="13.453125" style="449" customWidth="1"/>
    <col min="12551" max="12552" width="21.453125" style="449" customWidth="1"/>
    <col min="12553" max="12554" width="22" style="449" customWidth="1"/>
    <col min="12555" max="12555" width="22.453125" style="449" bestFit="1" customWidth="1"/>
    <col min="12556" max="12556" width="22.453125" style="449" customWidth="1"/>
    <col min="12557" max="12557" width="22.81640625" style="449" bestFit="1" customWidth="1"/>
    <col min="12558" max="12558" width="22.81640625" style="449" customWidth="1"/>
    <col min="12559" max="12559" width="19.453125" style="449" customWidth="1"/>
    <col min="12560" max="12560" width="8.81640625" style="449"/>
    <col min="12561" max="12561" width="17.453125" style="449" bestFit="1" customWidth="1"/>
    <col min="12562" max="12562" width="16" style="449" customWidth="1"/>
    <col min="12563" max="12564" width="17.453125" style="449" customWidth="1"/>
    <col min="12565" max="12565" width="16.453125" style="449" customWidth="1"/>
    <col min="12566" max="12566" width="8.81640625" style="449"/>
    <col min="12567" max="12567" width="22.453125" style="449" bestFit="1" customWidth="1"/>
    <col min="12568" max="12568" width="22.1796875" style="449" bestFit="1" customWidth="1"/>
    <col min="12569" max="12570" width="17.453125" style="449" customWidth="1"/>
    <col min="12571" max="12571" width="18.1796875" style="449" customWidth="1"/>
    <col min="12572" max="12749" width="8.81640625" style="449"/>
    <col min="12750" max="12750" width="1.453125" style="449" customWidth="1"/>
    <col min="12751" max="12751" width="51.453125" style="449" customWidth="1"/>
    <col min="12752" max="12752" width="12.453125" style="449" customWidth="1"/>
    <col min="12753" max="12753" width="21.453125" style="449" bestFit="1" customWidth="1"/>
    <col min="12754" max="12754" width="12.453125" style="449" customWidth="1"/>
    <col min="12755" max="12755" width="14.453125" style="449" customWidth="1"/>
    <col min="12756" max="12756" width="15.1796875" style="449" customWidth="1"/>
    <col min="12757" max="12757" width="12.453125" style="449" bestFit="1" customWidth="1"/>
    <col min="12758" max="12758" width="13" style="449" customWidth="1"/>
    <col min="12759" max="12759" width="14.54296875" style="449" customWidth="1"/>
    <col min="12760" max="12760" width="44.453125" style="449" customWidth="1"/>
    <col min="12761" max="12761" width="34.54296875" style="449" customWidth="1"/>
    <col min="12762" max="12762" width="37.453125" style="449" customWidth="1"/>
    <col min="12763" max="12763" width="19.81640625" style="449" customWidth="1"/>
    <col min="12764" max="12788" width="8.81640625" style="449"/>
    <col min="12789" max="12789" width="9.54296875" style="449" customWidth="1"/>
    <col min="12790" max="12790" width="50.54296875" style="449" customWidth="1"/>
    <col min="12791" max="12791" width="14.81640625" style="449" customWidth="1"/>
    <col min="12792" max="12792" width="15.54296875" style="449" customWidth="1"/>
    <col min="12793" max="12793" width="8.54296875" style="449" bestFit="1" customWidth="1"/>
    <col min="12794" max="12794" width="21.1796875" style="449" customWidth="1"/>
    <col min="12795" max="12795" width="10.453125" style="449" customWidth="1"/>
    <col min="12796" max="12796" width="17.453125" style="449" customWidth="1"/>
    <col min="12797" max="12797" width="11.1796875" style="449" customWidth="1"/>
    <col min="12798" max="12798" width="17.453125" style="449" customWidth="1"/>
    <col min="12799" max="12799" width="9.453125" style="449" customWidth="1"/>
    <col min="12800" max="12800" width="17.453125" style="449" customWidth="1"/>
    <col min="12801" max="12801" width="10.453125" style="449" customWidth="1"/>
    <col min="12802" max="12802" width="19.453125" style="449" customWidth="1"/>
    <col min="12803" max="12803" width="17.453125" style="449" customWidth="1"/>
    <col min="12804" max="12804" width="43.81640625" style="449" customWidth="1"/>
    <col min="12805" max="12805" width="10.453125" style="449" customWidth="1"/>
    <col min="12806" max="12806" width="13.453125" style="449" customWidth="1"/>
    <col min="12807" max="12808" width="21.453125" style="449" customWidth="1"/>
    <col min="12809" max="12810" width="22" style="449" customWidth="1"/>
    <col min="12811" max="12811" width="22.453125" style="449" bestFit="1" customWidth="1"/>
    <col min="12812" max="12812" width="22.453125" style="449" customWidth="1"/>
    <col min="12813" max="12813" width="22.81640625" style="449" bestFit="1" customWidth="1"/>
    <col min="12814" max="12814" width="22.81640625" style="449" customWidth="1"/>
    <col min="12815" max="12815" width="19.453125" style="449" customWidth="1"/>
    <col min="12816" max="12816" width="8.81640625" style="449"/>
    <col min="12817" max="12817" width="17.453125" style="449" bestFit="1" customWidth="1"/>
    <col min="12818" max="12818" width="16" style="449" customWidth="1"/>
    <col min="12819" max="12820" width="17.453125" style="449" customWidth="1"/>
    <col min="12821" max="12821" width="16.453125" style="449" customWidth="1"/>
    <col min="12822" max="12822" width="8.81640625" style="449"/>
    <col min="12823" max="12823" width="22.453125" style="449" bestFit="1" customWidth="1"/>
    <col min="12824" max="12824" width="22.1796875" style="449" bestFit="1" customWidth="1"/>
    <col min="12825" max="12826" width="17.453125" style="449" customWidth="1"/>
    <col min="12827" max="12827" width="18.1796875" style="449" customWidth="1"/>
    <col min="12828" max="13005" width="8.81640625" style="449"/>
    <col min="13006" max="13006" width="1.453125" style="449" customWidth="1"/>
    <col min="13007" max="13007" width="51.453125" style="449" customWidth="1"/>
    <col min="13008" max="13008" width="12.453125" style="449" customWidth="1"/>
    <col min="13009" max="13009" width="21.453125" style="449" bestFit="1" customWidth="1"/>
    <col min="13010" max="13010" width="12.453125" style="449" customWidth="1"/>
    <col min="13011" max="13011" width="14.453125" style="449" customWidth="1"/>
    <col min="13012" max="13012" width="15.1796875" style="449" customWidth="1"/>
    <col min="13013" max="13013" width="12.453125" style="449" bestFit="1" customWidth="1"/>
    <col min="13014" max="13014" width="13" style="449" customWidth="1"/>
    <col min="13015" max="13015" width="14.54296875" style="449" customWidth="1"/>
    <col min="13016" max="13016" width="44.453125" style="449" customWidth="1"/>
    <col min="13017" max="13017" width="34.54296875" style="449" customWidth="1"/>
    <col min="13018" max="13018" width="37.453125" style="449" customWidth="1"/>
    <col min="13019" max="13019" width="19.81640625" style="449" customWidth="1"/>
    <col min="13020" max="13044" width="8.81640625" style="449"/>
    <col min="13045" max="13045" width="9.54296875" style="449" customWidth="1"/>
    <col min="13046" max="13046" width="50.54296875" style="449" customWidth="1"/>
    <col min="13047" max="13047" width="14.81640625" style="449" customWidth="1"/>
    <col min="13048" max="13048" width="15.54296875" style="449" customWidth="1"/>
    <col min="13049" max="13049" width="8.54296875" style="449" bestFit="1" customWidth="1"/>
    <col min="13050" max="13050" width="21.1796875" style="449" customWidth="1"/>
    <col min="13051" max="13051" width="10.453125" style="449" customWidth="1"/>
    <col min="13052" max="13052" width="17.453125" style="449" customWidth="1"/>
    <col min="13053" max="13053" width="11.1796875" style="449" customWidth="1"/>
    <col min="13054" max="13054" width="17.453125" style="449" customWidth="1"/>
    <col min="13055" max="13055" width="9.453125" style="449" customWidth="1"/>
    <col min="13056" max="13056" width="17.453125" style="449" customWidth="1"/>
    <col min="13057" max="13057" width="10.453125" style="449" customWidth="1"/>
    <col min="13058" max="13058" width="19.453125" style="449" customWidth="1"/>
    <col min="13059" max="13059" width="17.453125" style="449" customWidth="1"/>
    <col min="13060" max="13060" width="43.81640625" style="449" customWidth="1"/>
    <col min="13061" max="13061" width="10.453125" style="449" customWidth="1"/>
    <col min="13062" max="13062" width="13.453125" style="449" customWidth="1"/>
    <col min="13063" max="13064" width="21.453125" style="449" customWidth="1"/>
    <col min="13065" max="13066" width="22" style="449" customWidth="1"/>
    <col min="13067" max="13067" width="22.453125" style="449" bestFit="1" customWidth="1"/>
    <col min="13068" max="13068" width="22.453125" style="449" customWidth="1"/>
    <col min="13069" max="13069" width="22.81640625" style="449" bestFit="1" customWidth="1"/>
    <col min="13070" max="13070" width="22.81640625" style="449" customWidth="1"/>
    <col min="13071" max="13071" width="19.453125" style="449" customWidth="1"/>
    <col min="13072" max="13072" width="8.81640625" style="449"/>
    <col min="13073" max="13073" width="17.453125" style="449" bestFit="1" customWidth="1"/>
    <col min="13074" max="13074" width="16" style="449" customWidth="1"/>
    <col min="13075" max="13076" width="17.453125" style="449" customWidth="1"/>
    <col min="13077" max="13077" width="16.453125" style="449" customWidth="1"/>
    <col min="13078" max="13078" width="8.81640625" style="449"/>
    <col min="13079" max="13079" width="22.453125" style="449" bestFit="1" customWidth="1"/>
    <col min="13080" max="13080" width="22.1796875" style="449" bestFit="1" customWidth="1"/>
    <col min="13081" max="13082" width="17.453125" style="449" customWidth="1"/>
    <col min="13083" max="13083" width="18.1796875" style="449" customWidth="1"/>
    <col min="13084" max="13261" width="8.81640625" style="449"/>
    <col min="13262" max="13262" width="1.453125" style="449" customWidth="1"/>
    <col min="13263" max="13263" width="51.453125" style="449" customWidth="1"/>
    <col min="13264" max="13264" width="12.453125" style="449" customWidth="1"/>
    <col min="13265" max="13265" width="21.453125" style="449" bestFit="1" customWidth="1"/>
    <col min="13266" max="13266" width="12.453125" style="449" customWidth="1"/>
    <col min="13267" max="13267" width="14.453125" style="449" customWidth="1"/>
    <col min="13268" max="13268" width="15.1796875" style="449" customWidth="1"/>
    <col min="13269" max="13269" width="12.453125" style="449" bestFit="1" customWidth="1"/>
    <col min="13270" max="13270" width="13" style="449" customWidth="1"/>
    <col min="13271" max="13271" width="14.54296875" style="449" customWidth="1"/>
    <col min="13272" max="13272" width="44.453125" style="449" customWidth="1"/>
    <col min="13273" max="13273" width="34.54296875" style="449" customWidth="1"/>
    <col min="13274" max="13274" width="37.453125" style="449" customWidth="1"/>
    <col min="13275" max="13275" width="19.81640625" style="449" customWidth="1"/>
    <col min="13276" max="13300" width="8.81640625" style="449"/>
    <col min="13301" max="13301" width="9.54296875" style="449" customWidth="1"/>
    <col min="13302" max="13302" width="50.54296875" style="449" customWidth="1"/>
    <col min="13303" max="13303" width="14.81640625" style="449" customWidth="1"/>
    <col min="13304" max="13304" width="15.54296875" style="449" customWidth="1"/>
    <col min="13305" max="13305" width="8.54296875" style="449" bestFit="1" customWidth="1"/>
    <col min="13306" max="13306" width="21.1796875" style="449" customWidth="1"/>
    <col min="13307" max="13307" width="10.453125" style="449" customWidth="1"/>
    <col min="13308" max="13308" width="17.453125" style="449" customWidth="1"/>
    <col min="13309" max="13309" width="11.1796875" style="449" customWidth="1"/>
    <col min="13310" max="13310" width="17.453125" style="449" customWidth="1"/>
    <col min="13311" max="13311" width="9.453125" style="449" customWidth="1"/>
    <col min="13312" max="13312" width="17.453125" style="449" customWidth="1"/>
    <col min="13313" max="13313" width="10.453125" style="449" customWidth="1"/>
    <col min="13314" max="13314" width="19.453125" style="449" customWidth="1"/>
    <col min="13315" max="13315" width="17.453125" style="449" customWidth="1"/>
    <col min="13316" max="13316" width="43.81640625" style="449" customWidth="1"/>
    <col min="13317" max="13317" width="10.453125" style="449" customWidth="1"/>
    <col min="13318" max="13318" width="13.453125" style="449" customWidth="1"/>
    <col min="13319" max="13320" width="21.453125" style="449" customWidth="1"/>
    <col min="13321" max="13322" width="22" style="449" customWidth="1"/>
    <col min="13323" max="13323" width="22.453125" style="449" bestFit="1" customWidth="1"/>
    <col min="13324" max="13324" width="22.453125" style="449" customWidth="1"/>
    <col min="13325" max="13325" width="22.81640625" style="449" bestFit="1" customWidth="1"/>
    <col min="13326" max="13326" width="22.81640625" style="449" customWidth="1"/>
    <col min="13327" max="13327" width="19.453125" style="449" customWidth="1"/>
    <col min="13328" max="13328" width="8.81640625" style="449"/>
    <col min="13329" max="13329" width="17.453125" style="449" bestFit="1" customWidth="1"/>
    <col min="13330" max="13330" width="16" style="449" customWidth="1"/>
    <col min="13331" max="13332" width="17.453125" style="449" customWidth="1"/>
    <col min="13333" max="13333" width="16.453125" style="449" customWidth="1"/>
    <col min="13334" max="13334" width="8.81640625" style="449"/>
    <col min="13335" max="13335" width="22.453125" style="449" bestFit="1" customWidth="1"/>
    <col min="13336" max="13336" width="22.1796875" style="449" bestFit="1" customWidth="1"/>
    <col min="13337" max="13338" width="17.453125" style="449" customWidth="1"/>
    <col min="13339" max="13339" width="18.1796875" style="449" customWidth="1"/>
    <col min="13340" max="13517" width="8.81640625" style="449"/>
    <col min="13518" max="13518" width="1.453125" style="449" customWidth="1"/>
    <col min="13519" max="13519" width="51.453125" style="449" customWidth="1"/>
    <col min="13520" max="13520" width="12.453125" style="449" customWidth="1"/>
    <col min="13521" max="13521" width="21.453125" style="449" bestFit="1" customWidth="1"/>
    <col min="13522" max="13522" width="12.453125" style="449" customWidth="1"/>
    <col min="13523" max="13523" width="14.453125" style="449" customWidth="1"/>
    <col min="13524" max="13524" width="15.1796875" style="449" customWidth="1"/>
    <col min="13525" max="13525" width="12.453125" style="449" bestFit="1" customWidth="1"/>
    <col min="13526" max="13526" width="13" style="449" customWidth="1"/>
    <col min="13527" max="13527" width="14.54296875" style="449" customWidth="1"/>
    <col min="13528" max="13528" width="44.453125" style="449" customWidth="1"/>
    <col min="13529" max="13529" width="34.54296875" style="449" customWidth="1"/>
    <col min="13530" max="13530" width="37.453125" style="449" customWidth="1"/>
    <col min="13531" max="13531" width="19.81640625" style="449" customWidth="1"/>
    <col min="13532" max="13556" width="8.81640625" style="449"/>
    <col min="13557" max="13557" width="9.54296875" style="449" customWidth="1"/>
    <col min="13558" max="13558" width="50.54296875" style="449" customWidth="1"/>
    <col min="13559" max="13559" width="14.81640625" style="449" customWidth="1"/>
    <col min="13560" max="13560" width="15.54296875" style="449" customWidth="1"/>
    <col min="13561" max="13561" width="8.54296875" style="449" bestFit="1" customWidth="1"/>
    <col min="13562" max="13562" width="21.1796875" style="449" customWidth="1"/>
    <col min="13563" max="13563" width="10.453125" style="449" customWidth="1"/>
    <col min="13564" max="13564" width="17.453125" style="449" customWidth="1"/>
    <col min="13565" max="13565" width="11.1796875" style="449" customWidth="1"/>
    <col min="13566" max="13566" width="17.453125" style="449" customWidth="1"/>
    <col min="13567" max="13567" width="9.453125" style="449" customWidth="1"/>
    <col min="13568" max="13568" width="17.453125" style="449" customWidth="1"/>
    <col min="13569" max="13569" width="10.453125" style="449" customWidth="1"/>
    <col min="13570" max="13570" width="19.453125" style="449" customWidth="1"/>
    <col min="13571" max="13571" width="17.453125" style="449" customWidth="1"/>
    <col min="13572" max="13572" width="43.81640625" style="449" customWidth="1"/>
    <col min="13573" max="13573" width="10.453125" style="449" customWidth="1"/>
    <col min="13574" max="13574" width="13.453125" style="449" customWidth="1"/>
    <col min="13575" max="13576" width="21.453125" style="449" customWidth="1"/>
    <col min="13577" max="13578" width="22" style="449" customWidth="1"/>
    <col min="13579" max="13579" width="22.453125" style="449" bestFit="1" customWidth="1"/>
    <col min="13580" max="13580" width="22.453125" style="449" customWidth="1"/>
    <col min="13581" max="13581" width="22.81640625" style="449" bestFit="1" customWidth="1"/>
    <col min="13582" max="13582" width="22.81640625" style="449" customWidth="1"/>
    <col min="13583" max="13583" width="19.453125" style="449" customWidth="1"/>
    <col min="13584" max="13584" width="8.81640625" style="449"/>
    <col min="13585" max="13585" width="17.453125" style="449" bestFit="1" customWidth="1"/>
    <col min="13586" max="13586" width="16" style="449" customWidth="1"/>
    <col min="13587" max="13588" width="17.453125" style="449" customWidth="1"/>
    <col min="13589" max="13589" width="16.453125" style="449" customWidth="1"/>
    <col min="13590" max="13590" width="8.81640625" style="449"/>
    <col min="13591" max="13591" width="22.453125" style="449" bestFit="1" customWidth="1"/>
    <col min="13592" max="13592" width="22.1796875" style="449" bestFit="1" customWidth="1"/>
    <col min="13593" max="13594" width="17.453125" style="449" customWidth="1"/>
    <col min="13595" max="13595" width="18.1796875" style="449" customWidth="1"/>
    <col min="13596" max="13773" width="8.81640625" style="449"/>
    <col min="13774" max="13774" width="1.453125" style="449" customWidth="1"/>
    <col min="13775" max="13775" width="51.453125" style="449" customWidth="1"/>
    <col min="13776" max="13776" width="12.453125" style="449" customWidth="1"/>
    <col min="13777" max="13777" width="21.453125" style="449" bestFit="1" customWidth="1"/>
    <col min="13778" max="13778" width="12.453125" style="449" customWidth="1"/>
    <col min="13779" max="13779" width="14.453125" style="449" customWidth="1"/>
    <col min="13780" max="13780" width="15.1796875" style="449" customWidth="1"/>
    <col min="13781" max="13781" width="12.453125" style="449" bestFit="1" customWidth="1"/>
    <col min="13782" max="13782" width="13" style="449" customWidth="1"/>
    <col min="13783" max="13783" width="14.54296875" style="449" customWidth="1"/>
    <col min="13784" max="13784" width="44.453125" style="449" customWidth="1"/>
    <col min="13785" max="13785" width="34.54296875" style="449" customWidth="1"/>
    <col min="13786" max="13786" width="37.453125" style="449" customWidth="1"/>
    <col min="13787" max="13787" width="19.81640625" style="449" customWidth="1"/>
    <col min="13788" max="13812" width="8.81640625" style="449"/>
    <col min="13813" max="13813" width="9.54296875" style="449" customWidth="1"/>
    <col min="13814" max="13814" width="50.54296875" style="449" customWidth="1"/>
    <col min="13815" max="13815" width="14.81640625" style="449" customWidth="1"/>
    <col min="13816" max="13816" width="15.54296875" style="449" customWidth="1"/>
    <col min="13817" max="13817" width="8.54296875" style="449" bestFit="1" customWidth="1"/>
    <col min="13818" max="13818" width="21.1796875" style="449" customWidth="1"/>
    <col min="13819" max="13819" width="10.453125" style="449" customWidth="1"/>
    <col min="13820" max="13820" width="17.453125" style="449" customWidth="1"/>
    <col min="13821" max="13821" width="11.1796875" style="449" customWidth="1"/>
    <col min="13822" max="13822" width="17.453125" style="449" customWidth="1"/>
    <col min="13823" max="13823" width="9.453125" style="449" customWidth="1"/>
    <col min="13824" max="13824" width="17.453125" style="449" customWidth="1"/>
    <col min="13825" max="13825" width="10.453125" style="449" customWidth="1"/>
    <col min="13826" max="13826" width="19.453125" style="449" customWidth="1"/>
    <col min="13827" max="13827" width="17.453125" style="449" customWidth="1"/>
    <col min="13828" max="13828" width="43.81640625" style="449" customWidth="1"/>
    <col min="13829" max="13829" width="10.453125" style="449" customWidth="1"/>
    <col min="13830" max="13830" width="13.453125" style="449" customWidth="1"/>
    <col min="13831" max="13832" width="21.453125" style="449" customWidth="1"/>
    <col min="13833" max="13834" width="22" style="449" customWidth="1"/>
    <col min="13835" max="13835" width="22.453125" style="449" bestFit="1" customWidth="1"/>
    <col min="13836" max="13836" width="22.453125" style="449" customWidth="1"/>
    <col min="13837" max="13837" width="22.81640625" style="449" bestFit="1" customWidth="1"/>
    <col min="13838" max="13838" width="22.81640625" style="449" customWidth="1"/>
    <col min="13839" max="13839" width="19.453125" style="449" customWidth="1"/>
    <col min="13840" max="13840" width="8.81640625" style="449"/>
    <col min="13841" max="13841" width="17.453125" style="449" bestFit="1" customWidth="1"/>
    <col min="13842" max="13842" width="16" style="449" customWidth="1"/>
    <col min="13843" max="13844" width="17.453125" style="449" customWidth="1"/>
    <col min="13845" max="13845" width="16.453125" style="449" customWidth="1"/>
    <col min="13846" max="13846" width="8.81640625" style="449"/>
    <col min="13847" max="13847" width="22.453125" style="449" bestFit="1" customWidth="1"/>
    <col min="13848" max="13848" width="22.1796875" style="449" bestFit="1" customWidth="1"/>
    <col min="13849" max="13850" width="17.453125" style="449" customWidth="1"/>
    <col min="13851" max="13851" width="18.1796875" style="449" customWidth="1"/>
    <col min="13852" max="14029" width="8.81640625" style="449"/>
    <col min="14030" max="14030" width="1.453125" style="449" customWidth="1"/>
    <col min="14031" max="14031" width="51.453125" style="449" customWidth="1"/>
    <col min="14032" max="14032" width="12.453125" style="449" customWidth="1"/>
    <col min="14033" max="14033" width="21.453125" style="449" bestFit="1" customWidth="1"/>
    <col min="14034" max="14034" width="12.453125" style="449" customWidth="1"/>
    <col min="14035" max="14035" width="14.453125" style="449" customWidth="1"/>
    <col min="14036" max="14036" width="15.1796875" style="449" customWidth="1"/>
    <col min="14037" max="14037" width="12.453125" style="449" bestFit="1" customWidth="1"/>
    <col min="14038" max="14038" width="13" style="449" customWidth="1"/>
    <col min="14039" max="14039" width="14.54296875" style="449" customWidth="1"/>
    <col min="14040" max="14040" width="44.453125" style="449" customWidth="1"/>
    <col min="14041" max="14041" width="34.54296875" style="449" customWidth="1"/>
    <col min="14042" max="14042" width="37.453125" style="449" customWidth="1"/>
    <col min="14043" max="14043" width="19.81640625" style="449" customWidth="1"/>
    <col min="14044" max="14068" width="8.81640625" style="449"/>
    <col min="14069" max="14069" width="9.54296875" style="449" customWidth="1"/>
    <col min="14070" max="14070" width="50.54296875" style="449" customWidth="1"/>
    <col min="14071" max="14071" width="14.81640625" style="449" customWidth="1"/>
    <col min="14072" max="14072" width="15.54296875" style="449" customWidth="1"/>
    <col min="14073" max="14073" width="8.54296875" style="449" bestFit="1" customWidth="1"/>
    <col min="14074" max="14074" width="21.1796875" style="449" customWidth="1"/>
    <col min="14075" max="14075" width="10.453125" style="449" customWidth="1"/>
    <col min="14076" max="14076" width="17.453125" style="449" customWidth="1"/>
    <col min="14077" max="14077" width="11.1796875" style="449" customWidth="1"/>
    <col min="14078" max="14078" width="17.453125" style="449" customWidth="1"/>
    <col min="14079" max="14079" width="9.453125" style="449" customWidth="1"/>
    <col min="14080" max="14080" width="17.453125" style="449" customWidth="1"/>
    <col min="14081" max="14081" width="10.453125" style="449" customWidth="1"/>
    <col min="14082" max="14082" width="19.453125" style="449" customWidth="1"/>
    <col min="14083" max="14083" width="17.453125" style="449" customWidth="1"/>
    <col min="14084" max="14084" width="43.81640625" style="449" customWidth="1"/>
    <col min="14085" max="14085" width="10.453125" style="449" customWidth="1"/>
    <col min="14086" max="14086" width="13.453125" style="449" customWidth="1"/>
    <col min="14087" max="14088" width="21.453125" style="449" customWidth="1"/>
    <col min="14089" max="14090" width="22" style="449" customWidth="1"/>
    <col min="14091" max="14091" width="22.453125" style="449" bestFit="1" customWidth="1"/>
    <col min="14092" max="14092" width="22.453125" style="449" customWidth="1"/>
    <col min="14093" max="14093" width="22.81640625" style="449" bestFit="1" customWidth="1"/>
    <col min="14094" max="14094" width="22.81640625" style="449" customWidth="1"/>
    <col min="14095" max="14095" width="19.453125" style="449" customWidth="1"/>
    <col min="14096" max="14096" width="8.81640625" style="449"/>
    <col min="14097" max="14097" width="17.453125" style="449" bestFit="1" customWidth="1"/>
    <col min="14098" max="14098" width="16" style="449" customWidth="1"/>
    <col min="14099" max="14100" width="17.453125" style="449" customWidth="1"/>
    <col min="14101" max="14101" width="16.453125" style="449" customWidth="1"/>
    <col min="14102" max="14102" width="8.81640625" style="449"/>
    <col min="14103" max="14103" width="22.453125" style="449" bestFit="1" customWidth="1"/>
    <col min="14104" max="14104" width="22.1796875" style="449" bestFit="1" customWidth="1"/>
    <col min="14105" max="14106" width="17.453125" style="449" customWidth="1"/>
    <col min="14107" max="14107" width="18.1796875" style="449" customWidth="1"/>
    <col min="14108" max="14285" width="8.81640625" style="449"/>
    <col min="14286" max="14286" width="1.453125" style="449" customWidth="1"/>
    <col min="14287" max="14287" width="51.453125" style="449" customWidth="1"/>
    <col min="14288" max="14288" width="12.453125" style="449" customWidth="1"/>
    <col min="14289" max="14289" width="21.453125" style="449" bestFit="1" customWidth="1"/>
    <col min="14290" max="14290" width="12.453125" style="449" customWidth="1"/>
    <col min="14291" max="14291" width="14.453125" style="449" customWidth="1"/>
    <col min="14292" max="14292" width="15.1796875" style="449" customWidth="1"/>
    <col min="14293" max="14293" width="12.453125" style="449" bestFit="1" customWidth="1"/>
    <col min="14294" max="14294" width="13" style="449" customWidth="1"/>
    <col min="14295" max="14295" width="14.54296875" style="449" customWidth="1"/>
    <col min="14296" max="14296" width="44.453125" style="449" customWidth="1"/>
    <col min="14297" max="14297" width="34.54296875" style="449" customWidth="1"/>
    <col min="14298" max="14298" width="37.453125" style="449" customWidth="1"/>
    <col min="14299" max="14299" width="19.81640625" style="449" customWidth="1"/>
    <col min="14300" max="14324" width="8.81640625" style="449"/>
    <col min="14325" max="14325" width="9.54296875" style="449" customWidth="1"/>
    <col min="14326" max="14326" width="50.54296875" style="449" customWidth="1"/>
    <col min="14327" max="14327" width="14.81640625" style="449" customWidth="1"/>
    <col min="14328" max="14328" width="15.54296875" style="449" customWidth="1"/>
    <col min="14329" max="14329" width="8.54296875" style="449" bestFit="1" customWidth="1"/>
    <col min="14330" max="14330" width="21.1796875" style="449" customWidth="1"/>
    <col min="14331" max="14331" width="10.453125" style="449" customWidth="1"/>
    <col min="14332" max="14332" width="17.453125" style="449" customWidth="1"/>
    <col min="14333" max="14333" width="11.1796875" style="449" customWidth="1"/>
    <col min="14334" max="14334" width="17.453125" style="449" customWidth="1"/>
    <col min="14335" max="14335" width="9.453125" style="449" customWidth="1"/>
    <col min="14336" max="14336" width="17.453125" style="449" customWidth="1"/>
    <col min="14337" max="14337" width="10.453125" style="449" customWidth="1"/>
    <col min="14338" max="14338" width="19.453125" style="449" customWidth="1"/>
    <col min="14339" max="14339" width="17.453125" style="449" customWidth="1"/>
    <col min="14340" max="14340" width="43.81640625" style="449" customWidth="1"/>
    <col min="14341" max="14341" width="10.453125" style="449" customWidth="1"/>
    <col min="14342" max="14342" width="13.453125" style="449" customWidth="1"/>
    <col min="14343" max="14344" width="21.453125" style="449" customWidth="1"/>
    <col min="14345" max="14346" width="22" style="449" customWidth="1"/>
    <col min="14347" max="14347" width="22.453125" style="449" bestFit="1" customWidth="1"/>
    <col min="14348" max="14348" width="22.453125" style="449" customWidth="1"/>
    <col min="14349" max="14349" width="22.81640625" style="449" bestFit="1" customWidth="1"/>
    <col min="14350" max="14350" width="22.81640625" style="449" customWidth="1"/>
    <col min="14351" max="14351" width="19.453125" style="449" customWidth="1"/>
    <col min="14352" max="14352" width="8.81640625" style="449"/>
    <col min="14353" max="14353" width="17.453125" style="449" bestFit="1" customWidth="1"/>
    <col min="14354" max="14354" width="16" style="449" customWidth="1"/>
    <col min="14355" max="14356" width="17.453125" style="449" customWidth="1"/>
    <col min="14357" max="14357" width="16.453125" style="449" customWidth="1"/>
    <col min="14358" max="14358" width="8.81640625" style="449"/>
    <col min="14359" max="14359" width="22.453125" style="449" bestFit="1" customWidth="1"/>
    <col min="14360" max="14360" width="22.1796875" style="449" bestFit="1" customWidth="1"/>
    <col min="14361" max="14362" width="17.453125" style="449" customWidth="1"/>
    <col min="14363" max="14363" width="18.1796875" style="449" customWidth="1"/>
    <col min="14364" max="14541" width="8.81640625" style="449"/>
    <col min="14542" max="14542" width="1.453125" style="449" customWidth="1"/>
    <col min="14543" max="14543" width="51.453125" style="449" customWidth="1"/>
    <col min="14544" max="14544" width="12.453125" style="449" customWidth="1"/>
    <col min="14545" max="14545" width="21.453125" style="449" bestFit="1" customWidth="1"/>
    <col min="14546" max="14546" width="12.453125" style="449" customWidth="1"/>
    <col min="14547" max="14547" width="14.453125" style="449" customWidth="1"/>
    <col min="14548" max="14548" width="15.1796875" style="449" customWidth="1"/>
    <col min="14549" max="14549" width="12.453125" style="449" bestFit="1" customWidth="1"/>
    <col min="14550" max="14550" width="13" style="449" customWidth="1"/>
    <col min="14551" max="14551" width="14.54296875" style="449" customWidth="1"/>
    <col min="14552" max="14552" width="44.453125" style="449" customWidth="1"/>
    <col min="14553" max="14553" width="34.54296875" style="449" customWidth="1"/>
    <col min="14554" max="14554" width="37.453125" style="449" customWidth="1"/>
    <col min="14555" max="14555" width="19.81640625" style="449" customWidth="1"/>
    <col min="14556" max="14580" width="8.81640625" style="449"/>
    <col min="14581" max="14581" width="9.54296875" style="449" customWidth="1"/>
    <col min="14582" max="14582" width="50.54296875" style="449" customWidth="1"/>
    <col min="14583" max="14583" width="14.81640625" style="449" customWidth="1"/>
    <col min="14584" max="14584" width="15.54296875" style="449" customWidth="1"/>
    <col min="14585" max="14585" width="8.54296875" style="449" bestFit="1" customWidth="1"/>
    <col min="14586" max="14586" width="21.1796875" style="449" customWidth="1"/>
    <col min="14587" max="14587" width="10.453125" style="449" customWidth="1"/>
    <col min="14588" max="14588" width="17.453125" style="449" customWidth="1"/>
    <col min="14589" max="14589" width="11.1796875" style="449" customWidth="1"/>
    <col min="14590" max="14590" width="17.453125" style="449" customWidth="1"/>
    <col min="14591" max="14591" width="9.453125" style="449" customWidth="1"/>
    <col min="14592" max="14592" width="17.453125" style="449" customWidth="1"/>
    <col min="14593" max="14593" width="10.453125" style="449" customWidth="1"/>
    <col min="14594" max="14594" width="19.453125" style="449" customWidth="1"/>
    <col min="14595" max="14595" width="17.453125" style="449" customWidth="1"/>
    <col min="14596" max="14596" width="43.81640625" style="449" customWidth="1"/>
    <col min="14597" max="14597" width="10.453125" style="449" customWidth="1"/>
    <col min="14598" max="14598" width="13.453125" style="449" customWidth="1"/>
    <col min="14599" max="14600" width="21.453125" style="449" customWidth="1"/>
    <col min="14601" max="14602" width="22" style="449" customWidth="1"/>
    <col min="14603" max="14603" width="22.453125" style="449" bestFit="1" customWidth="1"/>
    <col min="14604" max="14604" width="22.453125" style="449" customWidth="1"/>
    <col min="14605" max="14605" width="22.81640625" style="449" bestFit="1" customWidth="1"/>
    <col min="14606" max="14606" width="22.81640625" style="449" customWidth="1"/>
    <col min="14607" max="14607" width="19.453125" style="449" customWidth="1"/>
    <col min="14608" max="14608" width="8.81640625" style="449"/>
    <col min="14609" max="14609" width="17.453125" style="449" bestFit="1" customWidth="1"/>
    <col min="14610" max="14610" width="16" style="449" customWidth="1"/>
    <col min="14611" max="14612" width="17.453125" style="449" customWidth="1"/>
    <col min="14613" max="14613" width="16.453125" style="449" customWidth="1"/>
    <col min="14614" max="14614" width="8.81640625" style="449"/>
    <col min="14615" max="14615" width="22.453125" style="449" bestFit="1" customWidth="1"/>
    <col min="14616" max="14616" width="22.1796875" style="449" bestFit="1" customWidth="1"/>
    <col min="14617" max="14618" width="17.453125" style="449" customWidth="1"/>
    <col min="14619" max="14619" width="18.1796875" style="449" customWidth="1"/>
    <col min="14620" max="14797" width="8.81640625" style="449"/>
    <col min="14798" max="14798" width="1.453125" style="449" customWidth="1"/>
    <col min="14799" max="14799" width="51.453125" style="449" customWidth="1"/>
    <col min="14800" max="14800" width="12.453125" style="449" customWidth="1"/>
    <col min="14801" max="14801" width="21.453125" style="449" bestFit="1" customWidth="1"/>
    <col min="14802" max="14802" width="12.453125" style="449" customWidth="1"/>
    <col min="14803" max="14803" width="14.453125" style="449" customWidth="1"/>
    <col min="14804" max="14804" width="15.1796875" style="449" customWidth="1"/>
    <col min="14805" max="14805" width="12.453125" style="449" bestFit="1" customWidth="1"/>
    <col min="14806" max="14806" width="13" style="449" customWidth="1"/>
    <col min="14807" max="14807" width="14.54296875" style="449" customWidth="1"/>
    <col min="14808" max="14808" width="44.453125" style="449" customWidth="1"/>
    <col min="14809" max="14809" width="34.54296875" style="449" customWidth="1"/>
    <col min="14810" max="14810" width="37.453125" style="449" customWidth="1"/>
    <col min="14811" max="14811" width="19.81640625" style="449" customWidth="1"/>
    <col min="14812" max="14836" width="8.81640625" style="449"/>
    <col min="14837" max="14837" width="9.54296875" style="449" customWidth="1"/>
    <col min="14838" max="14838" width="50.54296875" style="449" customWidth="1"/>
    <col min="14839" max="14839" width="14.81640625" style="449" customWidth="1"/>
    <col min="14840" max="14840" width="15.54296875" style="449" customWidth="1"/>
    <col min="14841" max="14841" width="8.54296875" style="449" bestFit="1" customWidth="1"/>
    <col min="14842" max="14842" width="21.1796875" style="449" customWidth="1"/>
    <col min="14843" max="14843" width="10.453125" style="449" customWidth="1"/>
    <col min="14844" max="14844" width="17.453125" style="449" customWidth="1"/>
    <col min="14845" max="14845" width="11.1796875" style="449" customWidth="1"/>
    <col min="14846" max="14846" width="17.453125" style="449" customWidth="1"/>
    <col min="14847" max="14847" width="9.453125" style="449" customWidth="1"/>
    <col min="14848" max="14848" width="17.453125" style="449" customWidth="1"/>
    <col min="14849" max="14849" width="10.453125" style="449" customWidth="1"/>
    <col min="14850" max="14850" width="19.453125" style="449" customWidth="1"/>
    <col min="14851" max="14851" width="17.453125" style="449" customWidth="1"/>
    <col min="14852" max="14852" width="43.81640625" style="449" customWidth="1"/>
    <col min="14853" max="14853" width="10.453125" style="449" customWidth="1"/>
    <col min="14854" max="14854" width="13.453125" style="449" customWidth="1"/>
    <col min="14855" max="14856" width="21.453125" style="449" customWidth="1"/>
    <col min="14857" max="14858" width="22" style="449" customWidth="1"/>
    <col min="14859" max="14859" width="22.453125" style="449" bestFit="1" customWidth="1"/>
    <col min="14860" max="14860" width="22.453125" style="449" customWidth="1"/>
    <col min="14861" max="14861" width="22.81640625" style="449" bestFit="1" customWidth="1"/>
    <col min="14862" max="14862" width="22.81640625" style="449" customWidth="1"/>
    <col min="14863" max="14863" width="19.453125" style="449" customWidth="1"/>
    <col min="14864" max="14864" width="8.81640625" style="449"/>
    <col min="14865" max="14865" width="17.453125" style="449" bestFit="1" customWidth="1"/>
    <col min="14866" max="14866" width="16" style="449" customWidth="1"/>
    <col min="14867" max="14868" width="17.453125" style="449" customWidth="1"/>
    <col min="14869" max="14869" width="16.453125" style="449" customWidth="1"/>
    <col min="14870" max="14870" width="8.81640625" style="449"/>
    <col min="14871" max="14871" width="22.453125" style="449" bestFit="1" customWidth="1"/>
    <col min="14872" max="14872" width="22.1796875" style="449" bestFit="1" customWidth="1"/>
    <col min="14873" max="14874" width="17.453125" style="449" customWidth="1"/>
    <col min="14875" max="14875" width="18.1796875" style="449" customWidth="1"/>
    <col min="14876" max="15053" width="8.81640625" style="449"/>
    <col min="15054" max="15054" width="1.453125" style="449" customWidth="1"/>
    <col min="15055" max="15055" width="51.453125" style="449" customWidth="1"/>
    <col min="15056" max="15056" width="12.453125" style="449" customWidth="1"/>
    <col min="15057" max="15057" width="21.453125" style="449" bestFit="1" customWidth="1"/>
    <col min="15058" max="15058" width="12.453125" style="449" customWidth="1"/>
    <col min="15059" max="15059" width="14.453125" style="449" customWidth="1"/>
    <col min="15060" max="15060" width="15.1796875" style="449" customWidth="1"/>
    <col min="15061" max="15061" width="12.453125" style="449" bestFit="1" customWidth="1"/>
    <col min="15062" max="15062" width="13" style="449" customWidth="1"/>
    <col min="15063" max="15063" width="14.54296875" style="449" customWidth="1"/>
    <col min="15064" max="15064" width="44.453125" style="449" customWidth="1"/>
    <col min="15065" max="15065" width="34.54296875" style="449" customWidth="1"/>
    <col min="15066" max="15066" width="37.453125" style="449" customWidth="1"/>
    <col min="15067" max="15067" width="19.81640625" style="449" customWidth="1"/>
    <col min="15068" max="15092" width="8.81640625" style="449"/>
    <col min="15093" max="15093" width="9.54296875" style="449" customWidth="1"/>
    <col min="15094" max="15094" width="50.54296875" style="449" customWidth="1"/>
    <col min="15095" max="15095" width="14.81640625" style="449" customWidth="1"/>
    <col min="15096" max="15096" width="15.54296875" style="449" customWidth="1"/>
    <col min="15097" max="15097" width="8.54296875" style="449" bestFit="1" customWidth="1"/>
    <col min="15098" max="15098" width="21.1796875" style="449" customWidth="1"/>
    <col min="15099" max="15099" width="10.453125" style="449" customWidth="1"/>
    <col min="15100" max="15100" width="17.453125" style="449" customWidth="1"/>
    <col min="15101" max="15101" width="11.1796875" style="449" customWidth="1"/>
    <col min="15102" max="15102" width="17.453125" style="449" customWidth="1"/>
    <col min="15103" max="15103" width="9.453125" style="449" customWidth="1"/>
    <col min="15104" max="15104" width="17.453125" style="449" customWidth="1"/>
    <col min="15105" max="15105" width="10.453125" style="449" customWidth="1"/>
    <col min="15106" max="15106" width="19.453125" style="449" customWidth="1"/>
    <col min="15107" max="15107" width="17.453125" style="449" customWidth="1"/>
    <col min="15108" max="15108" width="43.81640625" style="449" customWidth="1"/>
    <col min="15109" max="15109" width="10.453125" style="449" customWidth="1"/>
    <col min="15110" max="15110" width="13.453125" style="449" customWidth="1"/>
    <col min="15111" max="15112" width="21.453125" style="449" customWidth="1"/>
    <col min="15113" max="15114" width="22" style="449" customWidth="1"/>
    <col min="15115" max="15115" width="22.453125" style="449" bestFit="1" customWidth="1"/>
    <col min="15116" max="15116" width="22.453125" style="449" customWidth="1"/>
    <col min="15117" max="15117" width="22.81640625" style="449" bestFit="1" customWidth="1"/>
    <col min="15118" max="15118" width="22.81640625" style="449" customWidth="1"/>
    <col min="15119" max="15119" width="19.453125" style="449" customWidth="1"/>
    <col min="15120" max="15120" width="8.81640625" style="449"/>
    <col min="15121" max="15121" width="17.453125" style="449" bestFit="1" customWidth="1"/>
    <col min="15122" max="15122" width="16" style="449" customWidth="1"/>
    <col min="15123" max="15124" width="17.453125" style="449" customWidth="1"/>
    <col min="15125" max="15125" width="16.453125" style="449" customWidth="1"/>
    <col min="15126" max="15126" width="8.81640625" style="449"/>
    <col min="15127" max="15127" width="22.453125" style="449" bestFit="1" customWidth="1"/>
    <col min="15128" max="15128" width="22.1796875" style="449" bestFit="1" customWidth="1"/>
    <col min="15129" max="15130" width="17.453125" style="449" customWidth="1"/>
    <col min="15131" max="15131" width="18.1796875" style="449" customWidth="1"/>
    <col min="15132" max="15309" width="8.81640625" style="449"/>
    <col min="15310" max="15310" width="1.453125" style="449" customWidth="1"/>
    <col min="15311" max="15311" width="51.453125" style="449" customWidth="1"/>
    <col min="15312" max="15312" width="12.453125" style="449" customWidth="1"/>
    <col min="15313" max="15313" width="21.453125" style="449" bestFit="1" customWidth="1"/>
    <col min="15314" max="15314" width="12.453125" style="449" customWidth="1"/>
    <col min="15315" max="15315" width="14.453125" style="449" customWidth="1"/>
    <col min="15316" max="15316" width="15.1796875" style="449" customWidth="1"/>
    <col min="15317" max="15317" width="12.453125" style="449" bestFit="1" customWidth="1"/>
    <col min="15318" max="15318" width="13" style="449" customWidth="1"/>
    <col min="15319" max="15319" width="14.54296875" style="449" customWidth="1"/>
    <col min="15320" max="15320" width="44.453125" style="449" customWidth="1"/>
    <col min="15321" max="15321" width="34.54296875" style="449" customWidth="1"/>
    <col min="15322" max="15322" width="37.453125" style="449" customWidth="1"/>
    <col min="15323" max="15323" width="19.81640625" style="449" customWidth="1"/>
    <col min="15324" max="15348" width="8.81640625" style="449"/>
    <col min="15349" max="15349" width="9.54296875" style="449" customWidth="1"/>
    <col min="15350" max="15350" width="50.54296875" style="449" customWidth="1"/>
    <col min="15351" max="15351" width="14.81640625" style="449" customWidth="1"/>
    <col min="15352" max="15352" width="15.54296875" style="449" customWidth="1"/>
    <col min="15353" max="15353" width="8.54296875" style="449" bestFit="1" customWidth="1"/>
    <col min="15354" max="15354" width="21.1796875" style="449" customWidth="1"/>
    <col min="15355" max="15355" width="10.453125" style="449" customWidth="1"/>
    <col min="15356" max="15356" width="17.453125" style="449" customWidth="1"/>
    <col min="15357" max="15357" width="11.1796875" style="449" customWidth="1"/>
    <col min="15358" max="15358" width="17.453125" style="449" customWidth="1"/>
    <col min="15359" max="15359" width="9.453125" style="449" customWidth="1"/>
    <col min="15360" max="15360" width="17.453125" style="449" customWidth="1"/>
    <col min="15361" max="15361" width="10.453125" style="449" customWidth="1"/>
    <col min="15362" max="15362" width="19.453125" style="449" customWidth="1"/>
    <col min="15363" max="15363" width="17.453125" style="449" customWidth="1"/>
    <col min="15364" max="15364" width="43.81640625" style="449" customWidth="1"/>
    <col min="15365" max="15365" width="10.453125" style="449" customWidth="1"/>
    <col min="15366" max="15366" width="13.453125" style="449" customWidth="1"/>
    <col min="15367" max="15368" width="21.453125" style="449" customWidth="1"/>
    <col min="15369" max="15370" width="22" style="449" customWidth="1"/>
    <col min="15371" max="15371" width="22.453125" style="449" bestFit="1" customWidth="1"/>
    <col min="15372" max="15372" width="22.453125" style="449" customWidth="1"/>
    <col min="15373" max="15373" width="22.81640625" style="449" bestFit="1" customWidth="1"/>
    <col min="15374" max="15374" width="22.81640625" style="449" customWidth="1"/>
    <col min="15375" max="15375" width="19.453125" style="449" customWidth="1"/>
    <col min="15376" max="15376" width="8.81640625" style="449"/>
    <col min="15377" max="15377" width="17.453125" style="449" bestFit="1" customWidth="1"/>
    <col min="15378" max="15378" width="16" style="449" customWidth="1"/>
    <col min="15379" max="15380" width="17.453125" style="449" customWidth="1"/>
    <col min="15381" max="15381" width="16.453125" style="449" customWidth="1"/>
    <col min="15382" max="15382" width="8.81640625" style="449"/>
    <col min="15383" max="15383" width="22.453125" style="449" bestFit="1" customWidth="1"/>
    <col min="15384" max="15384" width="22.1796875" style="449" bestFit="1" customWidth="1"/>
    <col min="15385" max="15386" width="17.453125" style="449" customWidth="1"/>
    <col min="15387" max="15387" width="18.1796875" style="449" customWidth="1"/>
    <col min="15388" max="15565" width="8.81640625" style="449"/>
    <col min="15566" max="15566" width="1.453125" style="449" customWidth="1"/>
    <col min="15567" max="15567" width="51.453125" style="449" customWidth="1"/>
    <col min="15568" max="15568" width="12.453125" style="449" customWidth="1"/>
    <col min="15569" max="15569" width="21.453125" style="449" bestFit="1" customWidth="1"/>
    <col min="15570" max="15570" width="12.453125" style="449" customWidth="1"/>
    <col min="15571" max="15571" width="14.453125" style="449" customWidth="1"/>
    <col min="15572" max="15572" width="15.1796875" style="449" customWidth="1"/>
    <col min="15573" max="15573" width="12.453125" style="449" bestFit="1" customWidth="1"/>
    <col min="15574" max="15574" width="13" style="449" customWidth="1"/>
    <col min="15575" max="15575" width="14.54296875" style="449" customWidth="1"/>
    <col min="15576" max="15576" width="44.453125" style="449" customWidth="1"/>
    <col min="15577" max="15577" width="34.54296875" style="449" customWidth="1"/>
    <col min="15578" max="15578" width="37.453125" style="449" customWidth="1"/>
    <col min="15579" max="15579" width="19.81640625" style="449" customWidth="1"/>
    <col min="15580" max="15604" width="8.81640625" style="449"/>
    <col min="15605" max="15605" width="9.54296875" style="449" customWidth="1"/>
    <col min="15606" max="15606" width="50.54296875" style="449" customWidth="1"/>
    <col min="15607" max="15607" width="14.81640625" style="449" customWidth="1"/>
    <col min="15608" max="15608" width="15.54296875" style="449" customWidth="1"/>
    <col min="15609" max="15609" width="8.54296875" style="449" bestFit="1" customWidth="1"/>
    <col min="15610" max="15610" width="21.1796875" style="449" customWidth="1"/>
    <col min="15611" max="15611" width="10.453125" style="449" customWidth="1"/>
    <col min="15612" max="15612" width="17.453125" style="449" customWidth="1"/>
    <col min="15613" max="15613" width="11.1796875" style="449" customWidth="1"/>
    <col min="15614" max="15614" width="17.453125" style="449" customWidth="1"/>
    <col min="15615" max="15615" width="9.453125" style="449" customWidth="1"/>
    <col min="15616" max="15616" width="17.453125" style="449" customWidth="1"/>
    <col min="15617" max="15617" width="10.453125" style="449" customWidth="1"/>
    <col min="15618" max="15618" width="19.453125" style="449" customWidth="1"/>
    <col min="15619" max="15619" width="17.453125" style="449" customWidth="1"/>
    <col min="15620" max="15620" width="43.81640625" style="449" customWidth="1"/>
    <col min="15621" max="15621" width="10.453125" style="449" customWidth="1"/>
    <col min="15622" max="15622" width="13.453125" style="449" customWidth="1"/>
    <col min="15623" max="15624" width="21.453125" style="449" customWidth="1"/>
    <col min="15625" max="15626" width="22" style="449" customWidth="1"/>
    <col min="15627" max="15627" width="22.453125" style="449" bestFit="1" customWidth="1"/>
    <col min="15628" max="15628" width="22.453125" style="449" customWidth="1"/>
    <col min="15629" max="15629" width="22.81640625" style="449" bestFit="1" customWidth="1"/>
    <col min="15630" max="15630" width="22.81640625" style="449" customWidth="1"/>
    <col min="15631" max="15631" width="19.453125" style="449" customWidth="1"/>
    <col min="15632" max="15632" width="8.81640625" style="449"/>
    <col min="15633" max="15633" width="17.453125" style="449" bestFit="1" customWidth="1"/>
    <col min="15634" max="15634" width="16" style="449" customWidth="1"/>
    <col min="15635" max="15636" width="17.453125" style="449" customWidth="1"/>
    <col min="15637" max="15637" width="16.453125" style="449" customWidth="1"/>
    <col min="15638" max="15638" width="8.81640625" style="449"/>
    <col min="15639" max="15639" width="22.453125" style="449" bestFit="1" customWidth="1"/>
    <col min="15640" max="15640" width="22.1796875" style="449" bestFit="1" customWidth="1"/>
    <col min="15641" max="15642" width="17.453125" style="449" customWidth="1"/>
    <col min="15643" max="15643" width="18.1796875" style="449" customWidth="1"/>
    <col min="15644" max="15821" width="8.81640625" style="449"/>
    <col min="15822" max="15822" width="1.453125" style="449" customWidth="1"/>
    <col min="15823" max="15823" width="51.453125" style="449" customWidth="1"/>
    <col min="15824" max="15824" width="12.453125" style="449" customWidth="1"/>
    <col min="15825" max="15825" width="21.453125" style="449" bestFit="1" customWidth="1"/>
    <col min="15826" max="15826" width="12.453125" style="449" customWidth="1"/>
    <col min="15827" max="15827" width="14.453125" style="449" customWidth="1"/>
    <col min="15828" max="15828" width="15.1796875" style="449" customWidth="1"/>
    <col min="15829" max="15829" width="12.453125" style="449" bestFit="1" customWidth="1"/>
    <col min="15830" max="15830" width="13" style="449" customWidth="1"/>
    <col min="15831" max="15831" width="14.54296875" style="449" customWidth="1"/>
    <col min="15832" max="15832" width="44.453125" style="449" customWidth="1"/>
    <col min="15833" max="15833" width="34.54296875" style="449" customWidth="1"/>
    <col min="15834" max="15834" width="37.453125" style="449" customWidth="1"/>
    <col min="15835" max="15835" width="19.81640625" style="449" customWidth="1"/>
    <col min="15836" max="15860" width="8.81640625" style="449"/>
    <col min="15861" max="15861" width="9.54296875" style="449" customWidth="1"/>
    <col min="15862" max="15862" width="50.54296875" style="449" customWidth="1"/>
    <col min="15863" max="15863" width="14.81640625" style="449" customWidth="1"/>
    <col min="15864" max="15864" width="15.54296875" style="449" customWidth="1"/>
    <col min="15865" max="15865" width="8.54296875" style="449" bestFit="1" customWidth="1"/>
    <col min="15866" max="15866" width="21.1796875" style="449" customWidth="1"/>
    <col min="15867" max="15867" width="10.453125" style="449" customWidth="1"/>
    <col min="15868" max="15868" width="17.453125" style="449" customWidth="1"/>
    <col min="15869" max="15869" width="11.1796875" style="449" customWidth="1"/>
    <col min="15870" max="15870" width="17.453125" style="449" customWidth="1"/>
    <col min="15871" max="15871" width="9.453125" style="449" customWidth="1"/>
    <col min="15872" max="15872" width="17.453125" style="449" customWidth="1"/>
    <col min="15873" max="15873" width="10.453125" style="449" customWidth="1"/>
    <col min="15874" max="15874" width="19.453125" style="449" customWidth="1"/>
    <col min="15875" max="15875" width="17.453125" style="449" customWidth="1"/>
    <col min="15876" max="15876" width="43.81640625" style="449" customWidth="1"/>
    <col min="15877" max="15877" width="10.453125" style="449" customWidth="1"/>
    <col min="15878" max="15878" width="13.453125" style="449" customWidth="1"/>
    <col min="15879" max="15880" width="21.453125" style="449" customWidth="1"/>
    <col min="15881" max="15882" width="22" style="449" customWidth="1"/>
    <col min="15883" max="15883" width="22.453125" style="449" bestFit="1" customWidth="1"/>
    <col min="15884" max="15884" width="22.453125" style="449" customWidth="1"/>
    <col min="15885" max="15885" width="22.81640625" style="449" bestFit="1" customWidth="1"/>
    <col min="15886" max="15886" width="22.81640625" style="449" customWidth="1"/>
    <col min="15887" max="15887" width="19.453125" style="449" customWidth="1"/>
    <col min="15888" max="15888" width="8.81640625" style="449"/>
    <col min="15889" max="15889" width="17.453125" style="449" bestFit="1" customWidth="1"/>
    <col min="15890" max="15890" width="16" style="449" customWidth="1"/>
    <col min="15891" max="15892" width="17.453125" style="449" customWidth="1"/>
    <col min="15893" max="15893" width="16.453125" style="449" customWidth="1"/>
    <col min="15894" max="15894" width="8.81640625" style="449"/>
    <col min="15895" max="15895" width="22.453125" style="449" bestFit="1" customWidth="1"/>
    <col min="15896" max="15896" width="22.1796875" style="449" bestFit="1" customWidth="1"/>
    <col min="15897" max="15898" width="17.453125" style="449" customWidth="1"/>
    <col min="15899" max="15899" width="18.1796875" style="449" customWidth="1"/>
    <col min="15900" max="16077" width="8.81640625" style="449"/>
    <col min="16078" max="16078" width="1.453125" style="449" customWidth="1"/>
    <col min="16079" max="16079" width="51.453125" style="449" customWidth="1"/>
    <col min="16080" max="16080" width="12.453125" style="449" customWidth="1"/>
    <col min="16081" max="16081" width="21.453125" style="449" bestFit="1" customWidth="1"/>
    <col min="16082" max="16082" width="12.453125" style="449" customWidth="1"/>
    <col min="16083" max="16083" width="14.453125" style="449" customWidth="1"/>
    <col min="16084" max="16084" width="15.1796875" style="449" customWidth="1"/>
    <col min="16085" max="16085" width="12.453125" style="449" bestFit="1" customWidth="1"/>
    <col min="16086" max="16086" width="13" style="449" customWidth="1"/>
    <col min="16087" max="16087" width="14.54296875" style="449" customWidth="1"/>
    <col min="16088" max="16088" width="44.453125" style="449" customWidth="1"/>
    <col min="16089" max="16089" width="34.54296875" style="449" customWidth="1"/>
    <col min="16090" max="16090" width="37.453125" style="449" customWidth="1"/>
    <col min="16091" max="16091" width="19.81640625" style="449" customWidth="1"/>
    <col min="16092" max="16116" width="8.81640625" style="449"/>
    <col min="16117" max="16117" width="9.54296875" style="449" customWidth="1"/>
    <col min="16118" max="16118" width="50.54296875" style="449" customWidth="1"/>
    <col min="16119" max="16119" width="14.81640625" style="449" customWidth="1"/>
    <col min="16120" max="16120" width="15.54296875" style="449" customWidth="1"/>
    <col min="16121" max="16121" width="8.54296875" style="449" bestFit="1" customWidth="1"/>
    <col min="16122" max="16122" width="21.1796875" style="449" customWidth="1"/>
    <col min="16123" max="16123" width="10.453125" style="449" customWidth="1"/>
    <col min="16124" max="16124" width="17.453125" style="449" customWidth="1"/>
    <col min="16125" max="16125" width="11.1796875" style="449" customWidth="1"/>
    <col min="16126" max="16126" width="17.453125" style="449" customWidth="1"/>
    <col min="16127" max="16127" width="9.453125" style="449" customWidth="1"/>
    <col min="16128" max="16128" width="17.453125" style="449" customWidth="1"/>
    <col min="16129" max="16129" width="10.453125" style="449" customWidth="1"/>
    <col min="16130" max="16130" width="19.453125" style="449" customWidth="1"/>
    <col min="16131" max="16131" width="17.453125" style="449" customWidth="1"/>
    <col min="16132" max="16132" width="43.81640625" style="449" customWidth="1"/>
    <col min="16133" max="16133" width="10.453125" style="449" customWidth="1"/>
    <col min="16134" max="16134" width="13.453125" style="449" customWidth="1"/>
    <col min="16135" max="16136" width="21.453125" style="449" customWidth="1"/>
    <col min="16137" max="16138" width="22" style="449" customWidth="1"/>
    <col min="16139" max="16139" width="22.453125" style="449" bestFit="1" customWidth="1"/>
    <col min="16140" max="16140" width="22.453125" style="449" customWidth="1"/>
    <col min="16141" max="16141" width="22.81640625" style="449" bestFit="1" customWidth="1"/>
    <col min="16142" max="16142" width="22.81640625" style="449" customWidth="1"/>
    <col min="16143" max="16143" width="19.453125" style="449" customWidth="1"/>
    <col min="16144" max="16144" width="8.81640625" style="449"/>
    <col min="16145" max="16145" width="17.453125" style="449" bestFit="1" customWidth="1"/>
    <col min="16146" max="16146" width="16" style="449" customWidth="1"/>
    <col min="16147" max="16148" width="17.453125" style="449" customWidth="1"/>
    <col min="16149" max="16149" width="16.453125" style="449" customWidth="1"/>
    <col min="16150" max="16150" width="8.81640625" style="449"/>
    <col min="16151" max="16151" width="22.453125" style="449" bestFit="1" customWidth="1"/>
    <col min="16152" max="16152" width="22.1796875" style="449" bestFit="1" customWidth="1"/>
    <col min="16153" max="16154" width="17.453125" style="449" customWidth="1"/>
    <col min="16155" max="16155" width="18.1796875" style="449" customWidth="1"/>
    <col min="16156" max="16333" width="8.81640625" style="449"/>
    <col min="16334" max="16334" width="1.453125" style="449" customWidth="1"/>
    <col min="16335" max="16335" width="51.453125" style="449" customWidth="1"/>
    <col min="16336" max="16336" width="12.453125" style="449" customWidth="1"/>
    <col min="16337" max="16337" width="21.453125" style="449" bestFit="1" customWidth="1"/>
    <col min="16338" max="16338" width="12.453125" style="449" customWidth="1"/>
    <col min="16339" max="16339" width="14.453125" style="449" customWidth="1"/>
    <col min="16340" max="16340" width="15.1796875" style="449" customWidth="1"/>
    <col min="16341" max="16341" width="12.453125" style="449" bestFit="1" customWidth="1"/>
    <col min="16342" max="16342" width="13" style="449" customWidth="1"/>
    <col min="16343" max="16343" width="14.54296875" style="449" customWidth="1"/>
    <col min="16344" max="16344" width="44.453125" style="449" customWidth="1"/>
    <col min="16345" max="16345" width="34.54296875" style="449" customWidth="1"/>
    <col min="16346" max="16346" width="37.453125" style="449" customWidth="1"/>
    <col min="16347" max="16347" width="19.81640625" style="449" customWidth="1"/>
    <col min="16348" max="16384" width="8.81640625" style="449"/>
  </cols>
  <sheetData>
    <row r="1" spans="1:31">
      <c r="A1" s="442" t="s">
        <v>403</v>
      </c>
      <c r="F1" s="445"/>
    </row>
    <row r="2" spans="1:31">
      <c r="B2" s="450" t="s">
        <v>550</v>
      </c>
      <c r="C2" s="451"/>
      <c r="D2" s="451"/>
      <c r="E2" s="451"/>
      <c r="F2" s="452"/>
      <c r="G2" s="453"/>
      <c r="H2" s="453"/>
      <c r="I2" s="453"/>
      <c r="J2" s="453"/>
    </row>
    <row r="3" spans="1:31" ht="64">
      <c r="B3" s="454" t="s">
        <v>522</v>
      </c>
      <c r="C3" s="451"/>
      <c r="D3" s="451"/>
      <c r="E3" s="451"/>
      <c r="F3" s="452"/>
      <c r="G3" s="453"/>
      <c r="H3" s="455"/>
      <c r="I3" s="453"/>
      <c r="J3" s="453"/>
    </row>
    <row r="4" spans="1:31" ht="16.5" thickBot="1">
      <c r="B4" s="450" t="s">
        <v>523</v>
      </c>
      <c r="C4" s="451"/>
      <c r="D4" s="451"/>
      <c r="E4" s="451"/>
      <c r="F4" s="452"/>
      <c r="G4" s="453"/>
      <c r="H4" s="455"/>
      <c r="I4" s="453"/>
      <c r="J4" s="453"/>
    </row>
    <row r="5" spans="1:31" ht="20.5" thickBot="1">
      <c r="B5" s="454" t="s">
        <v>521</v>
      </c>
      <c r="C5" s="451"/>
      <c r="D5" s="451"/>
      <c r="E5" s="451"/>
      <c r="F5" s="452"/>
      <c r="G5" s="453"/>
      <c r="H5" s="455"/>
      <c r="I5" s="453"/>
      <c r="J5" s="453"/>
      <c r="K5" s="456" t="s">
        <v>33</v>
      </c>
      <c r="L5" s="457"/>
      <c r="M5" s="457"/>
      <c r="N5" s="457"/>
      <c r="O5" s="457"/>
      <c r="P5" s="457"/>
      <c r="Q5" s="457"/>
      <c r="R5" s="457"/>
      <c r="S5" s="458"/>
      <c r="U5" s="459" t="s">
        <v>404</v>
      </c>
      <c r="V5" s="460"/>
      <c r="W5" s="460"/>
      <c r="X5" s="460"/>
      <c r="Y5" s="461"/>
      <c r="AA5" s="462" t="s">
        <v>405</v>
      </c>
      <c r="AB5" s="463"/>
      <c r="AC5" s="463"/>
      <c r="AD5" s="463"/>
      <c r="AE5" s="464"/>
    </row>
    <row r="6" spans="1:31" s="447" customFormat="1" ht="13.5" customHeight="1">
      <c r="B6" s="451" t="s">
        <v>406</v>
      </c>
      <c r="C6" s="451"/>
      <c r="D6" s="451"/>
      <c r="E6" s="451"/>
      <c r="F6" s="452"/>
      <c r="G6" s="453"/>
      <c r="H6" s="453"/>
      <c r="I6" s="453"/>
      <c r="J6" s="453"/>
      <c r="K6" s="453"/>
      <c r="L6" s="453"/>
      <c r="M6" s="465"/>
      <c r="N6" s="465"/>
      <c r="O6" s="465"/>
      <c r="P6" s="465"/>
      <c r="Q6" s="465"/>
      <c r="R6" s="465"/>
      <c r="S6" s="465"/>
      <c r="U6" s="466"/>
      <c r="V6" s="467" t="s">
        <v>407</v>
      </c>
      <c r="W6" s="468">
        <v>0.83</v>
      </c>
      <c r="X6" s="467"/>
      <c r="Y6" s="467"/>
      <c r="AA6" s="469"/>
      <c r="AB6" s="470" t="s">
        <v>408</v>
      </c>
      <c r="AC6" s="471">
        <v>7.0000000000000007E-2</v>
      </c>
      <c r="AD6" s="470"/>
      <c r="AE6" s="470"/>
    </row>
    <row r="7" spans="1:31" s="447" customFormat="1">
      <c r="B7" s="451"/>
      <c r="C7" s="453"/>
      <c r="D7" s="466"/>
      <c r="E7" s="453"/>
      <c r="F7" s="451"/>
      <c r="G7" s="451"/>
      <c r="H7" s="451"/>
      <c r="K7" s="465"/>
      <c r="L7" s="465"/>
      <c r="M7" s="465"/>
      <c r="N7" s="465"/>
      <c r="O7" s="465"/>
      <c r="P7" s="465"/>
      <c r="Q7" s="465"/>
      <c r="R7" s="465"/>
      <c r="S7" s="465"/>
      <c r="U7" s="467"/>
      <c r="V7" s="467"/>
      <c r="W7" s="467"/>
      <c r="X7" s="467"/>
      <c r="Y7" s="467"/>
      <c r="AA7" s="470"/>
      <c r="AB7" s="470"/>
      <c r="AC7" s="470"/>
      <c r="AD7" s="470"/>
      <c r="AE7" s="470"/>
    </row>
    <row r="8" spans="1:31" s="447" customFormat="1">
      <c r="B8" s="451" t="s">
        <v>526</v>
      </c>
      <c r="C8" s="453"/>
      <c r="D8" s="466"/>
      <c r="E8" s="453"/>
      <c r="F8" s="466"/>
      <c r="G8" s="453"/>
      <c r="H8" s="453"/>
      <c r="K8" s="453"/>
      <c r="L8" s="453"/>
      <c r="M8" s="465"/>
      <c r="N8" s="465"/>
      <c r="O8" s="465"/>
      <c r="P8" s="465"/>
      <c r="Q8" s="465"/>
      <c r="R8" s="465"/>
      <c r="S8" s="465"/>
      <c r="U8" s="466"/>
      <c r="V8" s="467"/>
      <c r="W8" s="467"/>
      <c r="X8" s="467"/>
      <c r="Y8" s="467"/>
      <c r="AA8" s="469"/>
      <c r="AB8" s="470"/>
      <c r="AC8" s="470"/>
      <c r="AD8" s="470"/>
      <c r="AE8" s="470"/>
    </row>
    <row r="9" spans="1:31" ht="16.5" thickBot="1"/>
    <row r="10" spans="1:31" ht="81.75" customHeight="1">
      <c r="A10" s="472"/>
      <c r="B10" s="473" t="s">
        <v>25</v>
      </c>
      <c r="C10" s="474" t="s">
        <v>43</v>
      </c>
      <c r="D10" s="475" t="s">
        <v>409</v>
      </c>
      <c r="E10" s="476" t="s">
        <v>410</v>
      </c>
      <c r="F10" s="475" t="s">
        <v>512</v>
      </c>
      <c r="G10" s="477" t="s">
        <v>55</v>
      </c>
      <c r="H10" s="478" t="s">
        <v>56</v>
      </c>
      <c r="K10" s="479" t="str">
        <f>F10</f>
        <v>Y1 June 2024- Dec 2024 Budget</v>
      </c>
      <c r="L10" s="480"/>
      <c r="M10" s="474" t="e">
        <f>#REF!</f>
        <v>#REF!</v>
      </c>
      <c r="N10" s="474"/>
      <c r="O10" s="474" t="e">
        <f>#REF!</f>
        <v>#REF!</v>
      </c>
      <c r="P10" s="474"/>
      <c r="Q10" s="474" t="e">
        <f>#REF!</f>
        <v>#REF!</v>
      </c>
      <c r="R10" s="481"/>
      <c r="S10" s="481" t="s">
        <v>57</v>
      </c>
      <c r="U10" s="482" t="str">
        <f>K10</f>
        <v>Y1 June 2024- Dec 2024 Budget</v>
      </c>
      <c r="V10" s="475" t="e">
        <f>M10</f>
        <v>#REF!</v>
      </c>
      <c r="W10" s="475" t="e">
        <f>O10</f>
        <v>#REF!</v>
      </c>
      <c r="X10" s="475" t="e">
        <f>Q10</f>
        <v>#REF!</v>
      </c>
      <c r="Y10" s="483" t="s">
        <v>24</v>
      </c>
      <c r="AA10" s="484" t="s">
        <v>58</v>
      </c>
      <c r="AB10" s="485" t="s">
        <v>59</v>
      </c>
      <c r="AC10" s="485" t="s">
        <v>60</v>
      </c>
      <c r="AD10" s="485" t="s">
        <v>61</v>
      </c>
      <c r="AE10" s="486" t="s">
        <v>57</v>
      </c>
    </row>
    <row r="11" spans="1:31" ht="29.15" customHeight="1" thickBot="1">
      <c r="A11" s="487"/>
      <c r="B11" s="488"/>
      <c r="C11" s="489" t="s">
        <v>62</v>
      </c>
      <c r="D11" s="490" t="s">
        <v>63</v>
      </c>
      <c r="E11" s="491" t="s">
        <v>64</v>
      </c>
      <c r="F11" s="490" t="s">
        <v>411</v>
      </c>
      <c r="G11" s="492"/>
      <c r="H11" s="493"/>
      <c r="K11" s="494"/>
      <c r="L11" s="495"/>
      <c r="M11" s="489"/>
      <c r="N11" s="489"/>
      <c r="O11" s="489"/>
      <c r="P11" s="489"/>
      <c r="Q11" s="489"/>
      <c r="R11" s="496"/>
      <c r="S11" s="496"/>
      <c r="U11" s="497"/>
      <c r="V11" s="490"/>
      <c r="W11" s="490"/>
      <c r="X11" s="490"/>
      <c r="Y11" s="498"/>
      <c r="AA11" s="499" t="s">
        <v>65</v>
      </c>
      <c r="AB11" s="500" t="s">
        <v>67</v>
      </c>
      <c r="AC11" s="500" t="s">
        <v>69</v>
      </c>
      <c r="AD11" s="500" t="s">
        <v>71</v>
      </c>
      <c r="AE11" s="501" t="s">
        <v>71</v>
      </c>
    </row>
    <row r="12" spans="1:31" ht="14.25" customHeight="1">
      <c r="B12" s="502" t="s">
        <v>74</v>
      </c>
      <c r="C12" s="503"/>
      <c r="D12" s="504"/>
      <c r="E12" s="503"/>
      <c r="F12" s="504"/>
      <c r="G12" s="505"/>
      <c r="H12" s="506"/>
      <c r="K12" s="507"/>
      <c r="L12" s="508"/>
      <c r="M12" s="509"/>
      <c r="N12" s="509"/>
      <c r="O12" s="509"/>
      <c r="P12" s="509"/>
      <c r="Q12" s="509"/>
      <c r="R12" s="510"/>
      <c r="S12" s="510"/>
      <c r="U12" s="511"/>
      <c r="V12" s="512"/>
      <c r="W12" s="512"/>
      <c r="X12" s="512"/>
      <c r="Y12" s="513"/>
      <c r="AA12" s="514"/>
      <c r="AB12" s="515"/>
      <c r="AC12" s="515"/>
      <c r="AD12" s="515"/>
      <c r="AE12" s="516"/>
    </row>
    <row r="13" spans="1:31" ht="14.25" customHeight="1">
      <c r="B13" s="517" t="s">
        <v>518</v>
      </c>
      <c r="C13" s="518"/>
      <c r="D13" s="519"/>
      <c r="E13" s="518"/>
      <c r="F13" s="519"/>
      <c r="G13" s="520"/>
      <c r="H13" s="521"/>
      <c r="K13" s="507"/>
      <c r="L13" s="522" t="s">
        <v>76</v>
      </c>
      <c r="M13" s="509"/>
      <c r="N13" s="522" t="s">
        <v>77</v>
      </c>
      <c r="O13" s="509"/>
      <c r="P13" s="522" t="s">
        <v>78</v>
      </c>
      <c r="Q13" s="509"/>
      <c r="R13" s="522" t="s">
        <v>79</v>
      </c>
      <c r="S13" s="510"/>
      <c r="U13" s="511"/>
      <c r="V13" s="512"/>
      <c r="W13" s="512"/>
      <c r="X13" s="512"/>
      <c r="Y13" s="513"/>
      <c r="AA13" s="523"/>
      <c r="AB13" s="524"/>
      <c r="AC13" s="524"/>
      <c r="AD13" s="524"/>
      <c r="AE13" s="525"/>
    </row>
    <row r="14" spans="1:31" ht="14.25" customHeight="1">
      <c r="B14" s="517" t="s">
        <v>519</v>
      </c>
      <c r="C14" s="518"/>
      <c r="D14" s="519">
        <f>SUBTOTAL(9,D15:D20)</f>
        <v>0</v>
      </c>
      <c r="E14" s="519">
        <f t="shared" ref="E14" si="0">SUBTOTAL(9,E15:E20)</f>
        <v>25</v>
      </c>
      <c r="F14" s="519">
        <f>SUBTOTAL(9,F15:F20)</f>
        <v>0</v>
      </c>
      <c r="G14" s="520"/>
      <c r="H14" s="521"/>
      <c r="K14" s="507"/>
      <c r="L14" s="522"/>
      <c r="M14" s="509"/>
      <c r="N14" s="522"/>
      <c r="O14" s="509"/>
      <c r="P14" s="522"/>
      <c r="Q14" s="509"/>
      <c r="R14" s="522"/>
      <c r="S14" s="510"/>
      <c r="U14" s="511"/>
      <c r="V14" s="512"/>
      <c r="W14" s="512"/>
      <c r="X14" s="512"/>
      <c r="Y14" s="513"/>
      <c r="AA14" s="523"/>
      <c r="AB14" s="523"/>
      <c r="AC14" s="523"/>
      <c r="AD14" s="523"/>
      <c r="AE14" s="525"/>
    </row>
    <row r="15" spans="1:31" s="447" customFormat="1" ht="42.75" customHeight="1">
      <c r="B15" s="526"/>
      <c r="C15" s="527" t="s">
        <v>82</v>
      </c>
      <c r="D15" s="528"/>
      <c r="E15" s="527">
        <v>5</v>
      </c>
      <c r="F15" s="529">
        <f>E15*D15</f>
        <v>0</v>
      </c>
      <c r="G15" s="530" t="e">
        <f>((D15*E15*$F$7)+(#REF!*D15*#REF!)+(D15*#REF!*#REF!^2)+(D15*#REF!*#REF!^3))=#REF!</f>
        <v>#REF!</v>
      </c>
      <c r="H15" s="531"/>
      <c r="K15" s="532">
        <f>F15</f>
        <v>0</v>
      </c>
      <c r="L15" s="522" t="s">
        <v>416</v>
      </c>
      <c r="M15" s="533" t="e">
        <f>#REF!</f>
        <v>#REF!</v>
      </c>
      <c r="N15" s="522" t="s">
        <v>79</v>
      </c>
      <c r="O15" s="533" t="e">
        <f>#REF!</f>
        <v>#REF!</v>
      </c>
      <c r="P15" s="522" t="s">
        <v>78</v>
      </c>
      <c r="Q15" s="533" t="e">
        <f>#REF!</f>
        <v>#REF!</v>
      </c>
      <c r="R15" s="522" t="s">
        <v>77</v>
      </c>
      <c r="S15" s="534" t="e">
        <f t="shared" ref="S15:S21" si="1">SUM(K15:Q15)</f>
        <v>#REF!</v>
      </c>
      <c r="T15" s="535"/>
      <c r="U15" s="536">
        <f t="shared" ref="U15:U21" si="2">K15/$W$6</f>
        <v>0</v>
      </c>
      <c r="V15" s="533" t="e">
        <f t="shared" ref="V15:V21" si="3">M15/$W$6</f>
        <v>#REF!</v>
      </c>
      <c r="W15" s="533" t="e">
        <f t="shared" ref="W15:W21" si="4">O15/$W$6</f>
        <v>#REF!</v>
      </c>
      <c r="X15" s="533" t="e">
        <f t="shared" ref="X15:X21" si="5">Q15/$W$6</f>
        <v>#REF!</v>
      </c>
      <c r="Y15" s="534" t="e">
        <f t="shared" ref="Y15:Y21" si="6">SUM(U15:X15)</f>
        <v>#REF!</v>
      </c>
      <c r="AA15" s="537">
        <f t="shared" ref="AA15:AD21" si="7">U15*$AC$6</f>
        <v>0</v>
      </c>
      <c r="AB15" s="538" t="e">
        <f t="shared" si="7"/>
        <v>#REF!</v>
      </c>
      <c r="AC15" s="538" t="e">
        <f t="shared" si="7"/>
        <v>#REF!</v>
      </c>
      <c r="AD15" s="538" t="e">
        <f t="shared" si="7"/>
        <v>#REF!</v>
      </c>
      <c r="AE15" s="539" t="e">
        <f t="shared" ref="AE15:AE21" si="8">SUM(AA15:AD15)</f>
        <v>#REF!</v>
      </c>
    </row>
    <row r="16" spans="1:31" s="447" customFormat="1" ht="14.25" customHeight="1">
      <c r="B16" s="526"/>
      <c r="C16" s="527" t="s">
        <v>82</v>
      </c>
      <c r="D16" s="528"/>
      <c r="E16" s="527">
        <v>5</v>
      </c>
      <c r="F16" s="529">
        <f t="shared" ref="F16:F19" si="9">E16*D16</f>
        <v>0</v>
      </c>
      <c r="G16" s="530" t="e">
        <f>((D16*E16*$F$7)+(#REF!*D16*#REF!)+(D16*#REF!*#REF!^2)+(D16*#REF!*#REF!^3))=#REF!</f>
        <v>#REF!</v>
      </c>
      <c r="H16" s="531"/>
      <c r="K16" s="532">
        <f>F16</f>
        <v>0</v>
      </c>
      <c r="L16" s="522" t="s">
        <v>79</v>
      </c>
      <c r="M16" s="533" t="e">
        <f>#REF!</f>
        <v>#REF!</v>
      </c>
      <c r="N16" s="522" t="s">
        <v>78</v>
      </c>
      <c r="O16" s="533" t="e">
        <f>#REF!</f>
        <v>#REF!</v>
      </c>
      <c r="P16" s="522" t="s">
        <v>77</v>
      </c>
      <c r="Q16" s="533" t="e">
        <f>#REF!</f>
        <v>#REF!</v>
      </c>
      <c r="R16" s="522" t="s">
        <v>76</v>
      </c>
      <c r="S16" s="534" t="e">
        <f t="shared" si="1"/>
        <v>#REF!</v>
      </c>
      <c r="T16" s="535"/>
      <c r="U16" s="536">
        <f t="shared" si="2"/>
        <v>0</v>
      </c>
      <c r="V16" s="533" t="e">
        <f t="shared" si="3"/>
        <v>#REF!</v>
      </c>
      <c r="W16" s="533" t="e">
        <f t="shared" si="4"/>
        <v>#REF!</v>
      </c>
      <c r="X16" s="533" t="e">
        <f t="shared" si="5"/>
        <v>#REF!</v>
      </c>
      <c r="Y16" s="534" t="e">
        <f t="shared" si="6"/>
        <v>#REF!</v>
      </c>
      <c r="AA16" s="537">
        <f t="shared" si="7"/>
        <v>0</v>
      </c>
      <c r="AB16" s="538" t="e">
        <f t="shared" si="7"/>
        <v>#REF!</v>
      </c>
      <c r="AC16" s="538" t="e">
        <f t="shared" si="7"/>
        <v>#REF!</v>
      </c>
      <c r="AD16" s="538" t="e">
        <f t="shared" si="7"/>
        <v>#REF!</v>
      </c>
      <c r="AE16" s="539" t="e">
        <f t="shared" si="8"/>
        <v>#REF!</v>
      </c>
    </row>
    <row r="17" spans="1:37" s="447" customFormat="1" ht="14.25" customHeight="1">
      <c r="B17" s="526"/>
      <c r="C17" s="527" t="s">
        <v>82</v>
      </c>
      <c r="D17" s="528"/>
      <c r="E17" s="527">
        <v>5</v>
      </c>
      <c r="F17" s="529">
        <f t="shared" si="9"/>
        <v>0</v>
      </c>
      <c r="G17" s="530"/>
      <c r="H17" s="531"/>
      <c r="K17" s="532"/>
      <c r="L17" s="522"/>
      <c r="M17" s="533"/>
      <c r="N17" s="522"/>
      <c r="O17" s="533"/>
      <c r="P17" s="522"/>
      <c r="Q17" s="533"/>
      <c r="R17" s="522"/>
      <c r="S17" s="534"/>
      <c r="T17" s="535"/>
      <c r="U17" s="536"/>
      <c r="V17" s="533"/>
      <c r="W17" s="533"/>
      <c r="X17" s="533"/>
      <c r="Y17" s="534"/>
      <c r="AA17" s="537"/>
      <c r="AB17" s="538"/>
      <c r="AC17" s="538"/>
      <c r="AD17" s="538"/>
      <c r="AE17" s="539"/>
    </row>
    <row r="18" spans="1:37" s="447" customFormat="1" ht="14.25" customHeight="1">
      <c r="B18" s="526"/>
      <c r="C18" s="527" t="s">
        <v>82</v>
      </c>
      <c r="D18" s="528"/>
      <c r="E18" s="527">
        <v>5</v>
      </c>
      <c r="F18" s="529">
        <f t="shared" si="9"/>
        <v>0</v>
      </c>
      <c r="G18" s="530" t="e">
        <f>((D18*E18*$F$7)+(#REF!*D18*#REF!)+(D18*#REF!*#REF!^2)+(D18*#REF!*#REF!^3))=#REF!</f>
        <v>#REF!</v>
      </c>
      <c r="H18" s="531"/>
      <c r="K18" s="532">
        <f>F18</f>
        <v>0</v>
      </c>
      <c r="L18" s="522" t="s">
        <v>78</v>
      </c>
      <c r="M18" s="533" t="e">
        <f>#REF!</f>
        <v>#REF!</v>
      </c>
      <c r="N18" s="522" t="s">
        <v>77</v>
      </c>
      <c r="O18" s="533" t="e">
        <f>#REF!</f>
        <v>#REF!</v>
      </c>
      <c r="P18" s="522" t="s">
        <v>76</v>
      </c>
      <c r="Q18" s="533" t="e">
        <f>#REF!</f>
        <v>#REF!</v>
      </c>
      <c r="R18" s="522" t="s">
        <v>417</v>
      </c>
      <c r="S18" s="534" t="e">
        <f t="shared" si="1"/>
        <v>#REF!</v>
      </c>
      <c r="T18" s="535"/>
      <c r="U18" s="536">
        <f t="shared" si="2"/>
        <v>0</v>
      </c>
      <c r="V18" s="533" t="e">
        <f t="shared" si="3"/>
        <v>#REF!</v>
      </c>
      <c r="W18" s="533" t="e">
        <f t="shared" si="4"/>
        <v>#REF!</v>
      </c>
      <c r="X18" s="533" t="e">
        <f t="shared" si="5"/>
        <v>#REF!</v>
      </c>
      <c r="Y18" s="534" t="e">
        <f t="shared" si="6"/>
        <v>#REF!</v>
      </c>
      <c r="AA18" s="537">
        <f t="shared" si="7"/>
        <v>0</v>
      </c>
      <c r="AB18" s="538" t="e">
        <f t="shared" si="7"/>
        <v>#REF!</v>
      </c>
      <c r="AC18" s="538" t="e">
        <f t="shared" si="7"/>
        <v>#REF!</v>
      </c>
      <c r="AD18" s="538" t="e">
        <f t="shared" si="7"/>
        <v>#REF!</v>
      </c>
      <c r="AE18" s="539" t="e">
        <f t="shared" si="8"/>
        <v>#REF!</v>
      </c>
    </row>
    <row r="19" spans="1:37" s="447" customFormat="1" ht="14.25" customHeight="1">
      <c r="B19" s="526"/>
      <c r="C19" s="527" t="s">
        <v>82</v>
      </c>
      <c r="D19" s="528"/>
      <c r="E19" s="527">
        <v>5</v>
      </c>
      <c r="F19" s="529">
        <f t="shared" si="9"/>
        <v>0</v>
      </c>
      <c r="G19" s="530"/>
      <c r="H19" s="531"/>
      <c r="K19" s="532"/>
      <c r="L19" s="522"/>
      <c r="M19" s="533"/>
      <c r="N19" s="522"/>
      <c r="O19" s="533"/>
      <c r="P19" s="522"/>
      <c r="Q19" s="533"/>
      <c r="R19" s="522"/>
      <c r="S19" s="534"/>
      <c r="T19" s="535"/>
      <c r="U19" s="536"/>
      <c r="V19" s="533"/>
      <c r="W19" s="533"/>
      <c r="X19" s="533"/>
      <c r="Y19" s="534"/>
      <c r="AA19" s="537"/>
      <c r="AB19" s="538"/>
      <c r="AC19" s="538"/>
      <c r="AD19" s="538"/>
      <c r="AE19" s="539"/>
    </row>
    <row r="20" spans="1:37" s="447" customFormat="1" ht="14.25" customHeight="1">
      <c r="B20" s="526"/>
      <c r="C20" s="527" t="s">
        <v>82</v>
      </c>
      <c r="D20" s="528"/>
      <c r="E20" s="527"/>
      <c r="F20" s="529">
        <f>E20*D20</f>
        <v>0</v>
      </c>
      <c r="G20" s="530"/>
      <c r="H20" s="531"/>
      <c r="K20" s="532"/>
      <c r="L20" s="522"/>
      <c r="M20" s="533"/>
      <c r="N20" s="522"/>
      <c r="O20" s="533"/>
      <c r="P20" s="522"/>
      <c r="Q20" s="533"/>
      <c r="R20" s="522"/>
      <c r="S20" s="534"/>
      <c r="T20" s="535"/>
      <c r="U20" s="536"/>
      <c r="V20" s="533"/>
      <c r="W20" s="533"/>
      <c r="X20" s="533"/>
      <c r="Y20" s="534"/>
      <c r="AA20" s="537"/>
      <c r="AB20" s="538"/>
      <c r="AC20" s="538"/>
      <c r="AD20" s="538"/>
      <c r="AE20" s="539"/>
    </row>
    <row r="21" spans="1:37" ht="14.25" customHeight="1">
      <c r="B21" s="517" t="s">
        <v>89</v>
      </c>
      <c r="C21" s="518"/>
      <c r="D21" s="519">
        <f>SUBTOTAL(9,D22:D31)</f>
        <v>0</v>
      </c>
      <c r="E21" s="519">
        <f>SUBTOTAL(9,E22:E31)</f>
        <v>45</v>
      </c>
      <c r="F21" s="519">
        <f>SUBTOTAL(9,F22:F31)</f>
        <v>0</v>
      </c>
      <c r="G21" s="540"/>
      <c r="H21" s="521"/>
      <c r="K21" s="532">
        <f>F21</f>
        <v>0</v>
      </c>
      <c r="L21" s="522" t="s">
        <v>417</v>
      </c>
      <c r="M21" s="533" t="e">
        <f>#REF!</f>
        <v>#REF!</v>
      </c>
      <c r="N21" s="522" t="s">
        <v>76</v>
      </c>
      <c r="O21" s="533" t="e">
        <f>#REF!</f>
        <v>#REF!</v>
      </c>
      <c r="P21" s="522" t="s">
        <v>77</v>
      </c>
      <c r="Q21" s="533" t="e">
        <f>#REF!</f>
        <v>#REF!</v>
      </c>
      <c r="R21" s="522" t="s">
        <v>78</v>
      </c>
      <c r="S21" s="534" t="e">
        <f t="shared" si="1"/>
        <v>#REF!</v>
      </c>
      <c r="T21" s="535"/>
      <c r="U21" s="536">
        <f t="shared" si="2"/>
        <v>0</v>
      </c>
      <c r="V21" s="533" t="e">
        <f t="shared" si="3"/>
        <v>#REF!</v>
      </c>
      <c r="W21" s="533" t="e">
        <f t="shared" si="4"/>
        <v>#REF!</v>
      </c>
      <c r="X21" s="533" t="e">
        <f t="shared" si="5"/>
        <v>#REF!</v>
      </c>
      <c r="Y21" s="534" t="e">
        <f t="shared" si="6"/>
        <v>#REF!</v>
      </c>
      <c r="AA21" s="537">
        <f t="shared" si="7"/>
        <v>0</v>
      </c>
      <c r="AB21" s="538" t="e">
        <f t="shared" si="7"/>
        <v>#REF!</v>
      </c>
      <c r="AC21" s="538" t="e">
        <f t="shared" si="7"/>
        <v>#REF!</v>
      </c>
      <c r="AD21" s="538" t="e">
        <f t="shared" si="7"/>
        <v>#REF!</v>
      </c>
      <c r="AE21" s="539" t="e">
        <f t="shared" si="8"/>
        <v>#REF!</v>
      </c>
    </row>
    <row r="22" spans="1:37" s="447" customFormat="1" ht="14.5" customHeight="1">
      <c r="A22" s="447" t="s">
        <v>90</v>
      </c>
      <c r="B22" s="526"/>
      <c r="C22" s="527" t="s">
        <v>82</v>
      </c>
      <c r="D22" s="528"/>
      <c r="E22" s="527">
        <v>5</v>
      </c>
      <c r="F22" s="541">
        <f t="shared" ref="F22:F31" si="10">E22*D22</f>
        <v>0</v>
      </c>
      <c r="G22" s="530" t="e">
        <f>((D22*E22*$F$7)+(#REF!*D22*#REF!)+(D22*#REF!*#REF!^2)+(D22*#REF!*#REF!^3))=#REF!</f>
        <v>#REF!</v>
      </c>
      <c r="H22" s="531"/>
      <c r="K22" s="532">
        <f>F22</f>
        <v>0</v>
      </c>
      <c r="L22" s="522" t="s">
        <v>76</v>
      </c>
      <c r="M22" s="533" t="e">
        <f>#REF!</f>
        <v>#REF!</v>
      </c>
      <c r="N22" s="522" t="s">
        <v>77</v>
      </c>
      <c r="O22" s="533" t="e">
        <f>#REF!</f>
        <v>#REF!</v>
      </c>
      <c r="P22" s="522" t="s">
        <v>78</v>
      </c>
      <c r="Q22" s="533" t="e">
        <f>#REF!</f>
        <v>#REF!</v>
      </c>
      <c r="R22" s="522" t="s">
        <v>79</v>
      </c>
      <c r="S22" s="534" t="e">
        <f>SUM(K22:Q22)</f>
        <v>#REF!</v>
      </c>
      <c r="T22" s="535"/>
      <c r="U22" s="536">
        <f>K22/$W$6</f>
        <v>0</v>
      </c>
      <c r="V22" s="533" t="e">
        <f>M22/$W$6</f>
        <v>#REF!</v>
      </c>
      <c r="W22" s="533" t="e">
        <f>O22/$W$6</f>
        <v>#REF!</v>
      </c>
      <c r="X22" s="533" t="e">
        <f>Q22/$W$6</f>
        <v>#REF!</v>
      </c>
      <c r="Y22" s="534" t="e">
        <f>SUM(U22:X22)</f>
        <v>#REF!</v>
      </c>
      <c r="AA22" s="537">
        <f>U22*$AC$6</f>
        <v>0</v>
      </c>
      <c r="AB22" s="538" t="e">
        <f>V22*$AC$6</f>
        <v>#REF!</v>
      </c>
      <c r="AC22" s="538" t="e">
        <f>W22*$AC$6</f>
        <v>#REF!</v>
      </c>
      <c r="AD22" s="538" t="e">
        <f>X22*$AC$6</f>
        <v>#REF!</v>
      </c>
      <c r="AE22" s="539" t="e">
        <f>SUM(AA22:AD22)</f>
        <v>#REF!</v>
      </c>
      <c r="AF22" s="542"/>
      <c r="AH22" s="543"/>
      <c r="AJ22" s="535"/>
      <c r="AK22" s="535">
        <f>AJ22-F22</f>
        <v>0</v>
      </c>
    </row>
    <row r="23" spans="1:37" s="447" customFormat="1" ht="16.5" customHeight="1">
      <c r="B23" s="526"/>
      <c r="C23" s="527" t="s">
        <v>82</v>
      </c>
      <c r="D23" s="528"/>
      <c r="E23" s="527">
        <v>5</v>
      </c>
      <c r="F23" s="541">
        <f t="shared" si="10"/>
        <v>0</v>
      </c>
      <c r="G23" s="530"/>
      <c r="H23" s="531"/>
      <c r="K23" s="532"/>
      <c r="L23" s="522"/>
      <c r="M23" s="533"/>
      <c r="N23" s="522"/>
      <c r="O23" s="533"/>
      <c r="P23" s="522"/>
      <c r="Q23" s="533"/>
      <c r="R23" s="522"/>
      <c r="S23" s="534"/>
      <c r="T23" s="535"/>
      <c r="U23" s="536"/>
      <c r="V23" s="533"/>
      <c r="W23" s="533"/>
      <c r="X23" s="533"/>
      <c r="Y23" s="534"/>
      <c r="AA23" s="537"/>
      <c r="AB23" s="538"/>
      <c r="AC23" s="538"/>
      <c r="AD23" s="538"/>
      <c r="AE23" s="539"/>
      <c r="AF23" s="542"/>
      <c r="AH23" s="543"/>
    </row>
    <row r="24" spans="1:37" s="447" customFormat="1" ht="15.65" customHeight="1">
      <c r="B24" s="526"/>
      <c r="C24" s="527" t="s">
        <v>82</v>
      </c>
      <c r="D24" s="528"/>
      <c r="E24" s="527">
        <v>5</v>
      </c>
      <c r="F24" s="541">
        <f t="shared" si="10"/>
        <v>0</v>
      </c>
      <c r="G24" s="530"/>
      <c r="H24" s="531"/>
      <c r="K24" s="532"/>
      <c r="L24" s="522"/>
      <c r="M24" s="533"/>
      <c r="N24" s="522"/>
      <c r="O24" s="533"/>
      <c r="P24" s="522"/>
      <c r="Q24" s="533"/>
      <c r="R24" s="522"/>
      <c r="S24" s="534"/>
      <c r="T24" s="535"/>
      <c r="U24" s="536"/>
      <c r="V24" s="533"/>
      <c r="W24" s="533"/>
      <c r="X24" s="533"/>
      <c r="Y24" s="534"/>
      <c r="AA24" s="537"/>
      <c r="AB24" s="538"/>
      <c r="AC24" s="538"/>
      <c r="AD24" s="538"/>
      <c r="AE24" s="539"/>
      <c r="AF24" s="542"/>
      <c r="AH24" s="543"/>
    </row>
    <row r="25" spans="1:37" s="447" customFormat="1" ht="17.149999999999999" customHeight="1">
      <c r="B25" s="526"/>
      <c r="C25" s="527" t="s">
        <v>82</v>
      </c>
      <c r="D25" s="528"/>
      <c r="E25" s="527">
        <v>5</v>
      </c>
      <c r="F25" s="541">
        <f>E25*D25</f>
        <v>0</v>
      </c>
      <c r="G25" s="530"/>
      <c r="H25" s="531"/>
      <c r="K25" s="532"/>
      <c r="L25" s="522"/>
      <c r="M25" s="533"/>
      <c r="N25" s="522"/>
      <c r="O25" s="533"/>
      <c r="P25" s="522"/>
      <c r="Q25" s="533"/>
      <c r="R25" s="522"/>
      <c r="S25" s="534"/>
      <c r="T25" s="535"/>
      <c r="U25" s="536"/>
      <c r="V25" s="533"/>
      <c r="W25" s="533"/>
      <c r="X25" s="533"/>
      <c r="Y25" s="534"/>
      <c r="AA25" s="537"/>
      <c r="AB25" s="538"/>
      <c r="AC25" s="538"/>
      <c r="AD25" s="538"/>
      <c r="AE25" s="539"/>
      <c r="AF25" s="542"/>
      <c r="AH25" s="543"/>
    </row>
    <row r="26" spans="1:37" s="447" customFormat="1" ht="15.65" customHeight="1">
      <c r="B26" s="526"/>
      <c r="C26" s="527" t="s">
        <v>82</v>
      </c>
      <c r="D26" s="528"/>
      <c r="E26" s="527">
        <v>5</v>
      </c>
      <c r="F26" s="541">
        <f t="shared" si="10"/>
        <v>0</v>
      </c>
      <c r="G26" s="530"/>
      <c r="H26" s="531"/>
      <c r="K26" s="532"/>
      <c r="L26" s="522"/>
      <c r="M26" s="533"/>
      <c r="N26" s="522"/>
      <c r="O26" s="533"/>
      <c r="P26" s="522"/>
      <c r="Q26" s="533"/>
      <c r="R26" s="522"/>
      <c r="S26" s="534"/>
      <c r="T26" s="535"/>
      <c r="U26" s="536"/>
      <c r="V26" s="533"/>
      <c r="W26" s="533"/>
      <c r="X26" s="533"/>
      <c r="Y26" s="534"/>
      <c r="AA26" s="537"/>
      <c r="AB26" s="538"/>
      <c r="AC26" s="538"/>
      <c r="AD26" s="538"/>
      <c r="AE26" s="539"/>
      <c r="AF26" s="542"/>
      <c r="AH26" s="543"/>
    </row>
    <row r="27" spans="1:37" s="447" customFormat="1" ht="21.65" customHeight="1">
      <c r="B27" s="526"/>
      <c r="C27" s="527" t="s">
        <v>82</v>
      </c>
      <c r="D27" s="528"/>
      <c r="E27" s="527">
        <v>5</v>
      </c>
      <c r="F27" s="541">
        <f t="shared" si="10"/>
        <v>0</v>
      </c>
      <c r="G27" s="530"/>
      <c r="H27" s="531"/>
      <c r="K27" s="532"/>
      <c r="L27" s="522"/>
      <c r="M27" s="533"/>
      <c r="N27" s="522"/>
      <c r="O27" s="533"/>
      <c r="P27" s="522"/>
      <c r="Q27" s="533"/>
      <c r="R27" s="522"/>
      <c r="S27" s="534"/>
      <c r="T27" s="535"/>
      <c r="U27" s="536"/>
      <c r="V27" s="533"/>
      <c r="W27" s="533"/>
      <c r="X27" s="533"/>
      <c r="Y27" s="534"/>
      <c r="AA27" s="537"/>
      <c r="AB27" s="538"/>
      <c r="AC27" s="538"/>
      <c r="AD27" s="538"/>
      <c r="AE27" s="539"/>
      <c r="AF27" s="542"/>
      <c r="AH27" s="543"/>
    </row>
    <row r="28" spans="1:37" s="447" customFormat="1" ht="19" customHeight="1">
      <c r="B28" s="526"/>
      <c r="C28" s="527" t="s">
        <v>82</v>
      </c>
      <c r="D28" s="528"/>
      <c r="E28" s="527">
        <v>5</v>
      </c>
      <c r="F28" s="541">
        <f t="shared" si="10"/>
        <v>0</v>
      </c>
      <c r="G28" s="530"/>
      <c r="H28" s="531"/>
      <c r="K28" s="532"/>
      <c r="L28" s="522"/>
      <c r="M28" s="533"/>
      <c r="N28" s="522"/>
      <c r="O28" s="533"/>
      <c r="P28" s="522"/>
      <c r="Q28" s="533"/>
      <c r="R28" s="522"/>
      <c r="S28" s="534"/>
      <c r="T28" s="535"/>
      <c r="U28" s="536"/>
      <c r="V28" s="533"/>
      <c r="W28" s="533"/>
      <c r="X28" s="533"/>
      <c r="Y28" s="534"/>
      <c r="AA28" s="537"/>
      <c r="AB28" s="538"/>
      <c r="AC28" s="538"/>
      <c r="AD28" s="538"/>
      <c r="AE28" s="539"/>
      <c r="AF28" s="542"/>
      <c r="AH28" s="543"/>
    </row>
    <row r="29" spans="1:37" s="447" customFormat="1" ht="19" customHeight="1">
      <c r="B29" s="526"/>
      <c r="C29" s="527" t="s">
        <v>82</v>
      </c>
      <c r="D29" s="528"/>
      <c r="E29" s="527">
        <v>5</v>
      </c>
      <c r="F29" s="541">
        <f t="shared" si="10"/>
        <v>0</v>
      </c>
      <c r="G29" s="530"/>
      <c r="H29" s="531"/>
      <c r="K29" s="532"/>
      <c r="L29" s="522"/>
      <c r="M29" s="533"/>
      <c r="N29" s="522"/>
      <c r="O29" s="533"/>
      <c r="P29" s="522"/>
      <c r="Q29" s="533"/>
      <c r="R29" s="522"/>
      <c r="S29" s="534"/>
      <c r="T29" s="535"/>
      <c r="U29" s="536"/>
      <c r="V29" s="533"/>
      <c r="W29" s="533"/>
      <c r="X29" s="533"/>
      <c r="Y29" s="534"/>
      <c r="AA29" s="537"/>
      <c r="AB29" s="538"/>
      <c r="AC29" s="538"/>
      <c r="AD29" s="538"/>
      <c r="AE29" s="539"/>
      <c r="AF29" s="542"/>
      <c r="AH29" s="543"/>
    </row>
    <row r="30" spans="1:37" s="447" customFormat="1" ht="16.5" customHeight="1">
      <c r="B30" s="526"/>
      <c r="C30" s="527" t="s">
        <v>82</v>
      </c>
      <c r="D30" s="528"/>
      <c r="E30" s="527">
        <v>5</v>
      </c>
      <c r="F30" s="541">
        <f t="shared" si="10"/>
        <v>0</v>
      </c>
      <c r="G30" s="530"/>
      <c r="H30" s="531"/>
      <c r="K30" s="532"/>
      <c r="L30" s="522"/>
      <c r="M30" s="533"/>
      <c r="N30" s="522"/>
      <c r="O30" s="533"/>
      <c r="P30" s="522"/>
      <c r="Q30" s="533"/>
      <c r="R30" s="522"/>
      <c r="S30" s="534"/>
      <c r="T30" s="535"/>
      <c r="U30" s="536"/>
      <c r="V30" s="533"/>
      <c r="W30" s="533"/>
      <c r="X30" s="533"/>
      <c r="Y30" s="534"/>
      <c r="AA30" s="537"/>
      <c r="AB30" s="538"/>
      <c r="AC30" s="538"/>
      <c r="AD30" s="538"/>
      <c r="AE30" s="539"/>
      <c r="AF30" s="542"/>
      <c r="AH30" s="543"/>
    </row>
    <row r="31" spans="1:37" s="447" customFormat="1" ht="14.25" customHeight="1">
      <c r="B31" s="544"/>
      <c r="C31" s="527"/>
      <c r="D31" s="528"/>
      <c r="E31" s="527"/>
      <c r="F31" s="541">
        <f t="shared" si="10"/>
        <v>0</v>
      </c>
      <c r="G31" s="530"/>
      <c r="H31" s="545"/>
      <c r="K31" s="532"/>
      <c r="L31" s="522"/>
      <c r="M31" s="533"/>
      <c r="N31" s="522"/>
      <c r="O31" s="533"/>
      <c r="P31" s="522"/>
      <c r="Q31" s="533"/>
      <c r="R31" s="522"/>
      <c r="S31" s="534"/>
      <c r="T31" s="535"/>
      <c r="U31" s="536"/>
      <c r="V31" s="533"/>
      <c r="W31" s="533"/>
      <c r="X31" s="533"/>
      <c r="Y31" s="534"/>
      <c r="AA31" s="537"/>
      <c r="AB31" s="538"/>
      <c r="AC31" s="538"/>
      <c r="AD31" s="538"/>
      <c r="AE31" s="539"/>
      <c r="AF31" s="542"/>
    </row>
    <row r="32" spans="1:37" s="447" customFormat="1" ht="14.25" customHeight="1">
      <c r="B32" s="517"/>
      <c r="C32" s="518"/>
      <c r="D32" s="519"/>
      <c r="E32" s="518"/>
      <c r="F32" s="519"/>
      <c r="G32" s="540"/>
      <c r="H32" s="546"/>
      <c r="K32" s="547"/>
      <c r="L32" s="522"/>
      <c r="M32" s="548"/>
      <c r="N32" s="522"/>
      <c r="O32" s="548"/>
      <c r="P32" s="522"/>
      <c r="Q32" s="548"/>
      <c r="R32" s="522"/>
      <c r="S32" s="549"/>
      <c r="T32" s="535"/>
      <c r="U32" s="550"/>
      <c r="V32" s="551"/>
      <c r="W32" s="551"/>
      <c r="X32" s="551"/>
      <c r="Y32" s="552"/>
      <c r="AA32" s="553"/>
      <c r="AB32" s="554"/>
      <c r="AC32" s="554"/>
      <c r="AD32" s="554"/>
      <c r="AE32" s="555"/>
    </row>
    <row r="33" spans="1:34" s="442" customFormat="1" ht="14.25" customHeight="1">
      <c r="B33" s="517" t="s">
        <v>102</v>
      </c>
      <c r="C33" s="517"/>
      <c r="D33" s="519">
        <f t="shared" ref="D33:F33" si="11">SUBTOTAL(9,D14:D32)</f>
        <v>0</v>
      </c>
      <c r="E33" s="519">
        <f t="shared" si="11"/>
        <v>70</v>
      </c>
      <c r="F33" s="519">
        <f t="shared" si="11"/>
        <v>0</v>
      </c>
      <c r="G33" s="530" t="e">
        <f>((D33*E33*$F$7)+(#REF!*D33*#REF!)+(D33*#REF!*#REF!^2)+(D33*#REF!*#REF!^3))=#REF!</f>
        <v>#REF!</v>
      </c>
      <c r="H33" s="556"/>
      <c r="I33" s="557"/>
      <c r="J33" s="557"/>
      <c r="K33" s="504">
        <f>SUM(K15:K32)</f>
        <v>0</v>
      </c>
      <c r="L33" s="522" t="s">
        <v>76</v>
      </c>
      <c r="M33" s="504" t="e">
        <f t="shared" ref="M33:S33" si="12">SUM(M15:M32)</f>
        <v>#REF!</v>
      </c>
      <c r="N33" s="504">
        <f t="shared" si="12"/>
        <v>0</v>
      </c>
      <c r="O33" s="504" t="e">
        <f t="shared" si="12"/>
        <v>#REF!</v>
      </c>
      <c r="P33" s="504">
        <f t="shared" si="12"/>
        <v>0</v>
      </c>
      <c r="Q33" s="504" t="e">
        <f t="shared" si="12"/>
        <v>#REF!</v>
      </c>
      <c r="R33" s="504">
        <f t="shared" si="12"/>
        <v>0</v>
      </c>
      <c r="S33" s="504" t="e">
        <f t="shared" si="12"/>
        <v>#REF!</v>
      </c>
      <c r="T33" s="504"/>
      <c r="U33" s="504">
        <f>SUM(U15:U32)</f>
        <v>0</v>
      </c>
      <c r="V33" s="504" t="e">
        <f>SUM(V15:V32)</f>
        <v>#REF!</v>
      </c>
      <c r="W33" s="504" t="e">
        <f>SUM(W15:W32)</f>
        <v>#REF!</v>
      </c>
      <c r="X33" s="504" t="e">
        <f>SUM(X15:X32)</f>
        <v>#REF!</v>
      </c>
      <c r="Y33" s="504" t="e">
        <f>SUM(Y15:Y32)</f>
        <v>#REF!</v>
      </c>
      <c r="Z33" s="504"/>
      <c r="AA33" s="504">
        <f>SUM(AA15:AA32)</f>
        <v>0</v>
      </c>
      <c r="AB33" s="504" t="e">
        <f>SUM(AB15:AB32)</f>
        <v>#REF!</v>
      </c>
      <c r="AC33" s="504" t="e">
        <f>SUM(AC15:AC32)</f>
        <v>#REF!</v>
      </c>
      <c r="AD33" s="504" t="e">
        <f>SUM(AD15:AD32)</f>
        <v>#REF!</v>
      </c>
      <c r="AE33" s="504" t="e">
        <f>SUM(AE15:AE32)</f>
        <v>#REF!</v>
      </c>
    </row>
    <row r="34" spans="1:34" s="447" customFormat="1" ht="14.25" customHeight="1">
      <c r="B34" s="544"/>
      <c r="C34" s="527"/>
      <c r="D34" s="528"/>
      <c r="E34" s="527"/>
      <c r="F34" s="541"/>
      <c r="G34" s="530" t="e">
        <f>((D34*E34*$F$7)+(#REF!*D34*#REF!)+(D34*#REF!*#REF!^2)+(D34*#REF!*#REF!^3))=#REF!</f>
        <v>#REF!</v>
      </c>
      <c r="H34" s="558"/>
      <c r="K34" s="559"/>
      <c r="L34" s="522" t="s">
        <v>76</v>
      </c>
      <c r="M34" s="560"/>
      <c r="N34" s="522" t="s">
        <v>77</v>
      </c>
      <c r="O34" s="560"/>
      <c r="P34" s="522" t="s">
        <v>78</v>
      </c>
      <c r="Q34" s="560"/>
      <c r="R34" s="522" t="s">
        <v>79</v>
      </c>
      <c r="S34" s="561"/>
      <c r="T34" s="535"/>
      <c r="U34" s="536"/>
      <c r="V34" s="533"/>
      <c r="W34" s="533"/>
      <c r="X34" s="533"/>
      <c r="Y34" s="534"/>
      <c r="AA34" s="537"/>
      <c r="AB34" s="562"/>
      <c r="AC34" s="562"/>
      <c r="AD34" s="562"/>
      <c r="AE34" s="539"/>
    </row>
    <row r="35" spans="1:34" ht="14.25" customHeight="1">
      <c r="B35" s="502" t="s">
        <v>418</v>
      </c>
      <c r="C35" s="503"/>
      <c r="D35" s="504"/>
      <c r="E35" s="503"/>
      <c r="F35" s="504"/>
      <c r="G35" s="530" t="e">
        <f>((D35*E35*$F$7)+(#REF!*D35*#REF!)+(D35*#REF!*#REF!^2)+(D35*#REF!*#REF!^3))=#REF!</f>
        <v>#REF!</v>
      </c>
      <c r="H35" s="506"/>
      <c r="K35" s="563"/>
      <c r="L35" s="522" t="s">
        <v>76</v>
      </c>
      <c r="M35" s="564"/>
      <c r="N35" s="522" t="s">
        <v>77</v>
      </c>
      <c r="O35" s="564"/>
      <c r="P35" s="522" t="s">
        <v>78</v>
      </c>
      <c r="Q35" s="564"/>
      <c r="R35" s="522" t="s">
        <v>79</v>
      </c>
      <c r="S35" s="565"/>
      <c r="T35" s="535"/>
      <c r="U35" s="566"/>
      <c r="V35" s="567"/>
      <c r="W35" s="567"/>
      <c r="X35" s="567"/>
      <c r="Y35" s="568"/>
      <c r="AA35" s="569"/>
      <c r="AB35" s="570"/>
      <c r="AC35" s="570"/>
      <c r="AD35" s="570"/>
      <c r="AE35" s="571"/>
    </row>
    <row r="36" spans="1:34" ht="14.25" customHeight="1">
      <c r="B36" s="572"/>
      <c r="C36" s="527" t="s">
        <v>114</v>
      </c>
      <c r="D36" s="528"/>
      <c r="E36" s="527"/>
      <c r="F36" s="541">
        <f t="shared" ref="F36:F37" si="13">E36*D36</f>
        <v>0</v>
      </c>
      <c r="G36" s="530" t="e">
        <f>((D36*E36*$F$7)+(#REF!*D36*#REF!)+(D36*#REF!*#REF!^2)+(D36*#REF!*#REF!^3))=#REF!</f>
        <v>#REF!</v>
      </c>
      <c r="H36" s="558"/>
      <c r="K36" s="532">
        <f>F36</f>
        <v>0</v>
      </c>
      <c r="L36" s="522" t="s">
        <v>76</v>
      </c>
      <c r="M36" s="533" t="e">
        <f>#REF!</f>
        <v>#REF!</v>
      </c>
      <c r="N36" s="522" t="s">
        <v>77</v>
      </c>
      <c r="O36" s="533" t="e">
        <f>#REF!</f>
        <v>#REF!</v>
      </c>
      <c r="P36" s="522" t="s">
        <v>78</v>
      </c>
      <c r="Q36" s="533" t="e">
        <f>#REF!</f>
        <v>#REF!</v>
      </c>
      <c r="R36" s="522" t="s">
        <v>79</v>
      </c>
      <c r="S36" s="534" t="e">
        <f t="shared" ref="S36:S37" si="14">SUM(K36:Q36)</f>
        <v>#REF!</v>
      </c>
      <c r="T36" s="535"/>
      <c r="U36" s="536">
        <f t="shared" ref="U36:U37" si="15">K36/$W$6</f>
        <v>0</v>
      </c>
      <c r="V36" s="533" t="e">
        <f t="shared" ref="V36:V37" si="16">M36/$W$6</f>
        <v>#REF!</v>
      </c>
      <c r="W36" s="533" t="e">
        <f t="shared" ref="W36:W37" si="17">O36/$W$6</f>
        <v>#REF!</v>
      </c>
      <c r="X36" s="533" t="e">
        <f t="shared" ref="X36:X37" si="18">Q36/$W$6</f>
        <v>#REF!</v>
      </c>
      <c r="Y36" s="534" t="e">
        <f t="shared" ref="Y36:Y37" si="19">SUM(U36:X36)</f>
        <v>#REF!</v>
      </c>
      <c r="AA36" s="537">
        <f t="shared" ref="AA36:AD37" si="20">U36*$AC$6</f>
        <v>0</v>
      </c>
      <c r="AB36" s="538" t="e">
        <f t="shared" si="20"/>
        <v>#REF!</v>
      </c>
      <c r="AC36" s="538" t="e">
        <f t="shared" si="20"/>
        <v>#REF!</v>
      </c>
      <c r="AD36" s="538" t="e">
        <f t="shared" si="20"/>
        <v>#REF!</v>
      </c>
      <c r="AE36" s="539" t="e">
        <f t="shared" ref="AE36:AE37" si="21">SUM(AA36:AD36)</f>
        <v>#REF!</v>
      </c>
    </row>
    <row r="37" spans="1:34" ht="14.25" customHeight="1">
      <c r="B37" s="572"/>
      <c r="C37" s="527" t="s">
        <v>114</v>
      </c>
      <c r="D37" s="528"/>
      <c r="E37" s="527"/>
      <c r="F37" s="541">
        <f t="shared" si="13"/>
        <v>0</v>
      </c>
      <c r="G37" s="530" t="e">
        <f>((D37*E37*$F$7)+(#REF!*D37*#REF!)+(D37*#REF!*#REF!^2)+(D37*#REF!*#REF!^3))=#REF!</f>
        <v>#REF!</v>
      </c>
      <c r="H37" s="558"/>
      <c r="K37" s="532">
        <f>F37</f>
        <v>0</v>
      </c>
      <c r="L37" s="522" t="s">
        <v>76</v>
      </c>
      <c r="M37" s="533" t="e">
        <f>#REF!</f>
        <v>#REF!</v>
      </c>
      <c r="N37" s="522" t="s">
        <v>77</v>
      </c>
      <c r="O37" s="533" t="e">
        <f>#REF!</f>
        <v>#REF!</v>
      </c>
      <c r="P37" s="522" t="s">
        <v>78</v>
      </c>
      <c r="Q37" s="533" t="e">
        <f>#REF!</f>
        <v>#REF!</v>
      </c>
      <c r="R37" s="522" t="s">
        <v>79</v>
      </c>
      <c r="S37" s="534" t="e">
        <f t="shared" si="14"/>
        <v>#REF!</v>
      </c>
      <c r="T37" s="535"/>
      <c r="U37" s="536">
        <f t="shared" si="15"/>
        <v>0</v>
      </c>
      <c r="V37" s="533" t="e">
        <f t="shared" si="16"/>
        <v>#REF!</v>
      </c>
      <c r="W37" s="533" t="e">
        <f t="shared" si="17"/>
        <v>#REF!</v>
      </c>
      <c r="X37" s="533" t="e">
        <f t="shared" si="18"/>
        <v>#REF!</v>
      </c>
      <c r="Y37" s="534" t="e">
        <f t="shared" si="19"/>
        <v>#REF!</v>
      </c>
      <c r="AA37" s="537">
        <f t="shared" si="20"/>
        <v>0</v>
      </c>
      <c r="AB37" s="538" t="e">
        <f t="shared" si="20"/>
        <v>#REF!</v>
      </c>
      <c r="AC37" s="538" t="e">
        <f t="shared" si="20"/>
        <v>#REF!</v>
      </c>
      <c r="AD37" s="538" t="e">
        <f t="shared" si="20"/>
        <v>#REF!</v>
      </c>
      <c r="AE37" s="539" t="e">
        <f t="shared" si="21"/>
        <v>#REF!</v>
      </c>
    </row>
    <row r="38" spans="1:34" s="442" customFormat="1" ht="14.25" customHeight="1">
      <c r="B38" s="517" t="s">
        <v>117</v>
      </c>
      <c r="C38" s="518"/>
      <c r="D38" s="519">
        <f t="shared" ref="D38:F38" si="22">SUBTOTAL(9,D36:D37)</f>
        <v>0</v>
      </c>
      <c r="E38" s="519">
        <f t="shared" si="22"/>
        <v>0</v>
      </c>
      <c r="F38" s="519">
        <f t="shared" si="22"/>
        <v>0</v>
      </c>
      <c r="G38" s="530" t="e">
        <f>((D38*E38*$F$7)+(#REF!*D38*#REF!)+(D38*#REF!*#REF!^2)+(D38*#REF!*#REF!^3))=#REF!</f>
        <v>#REF!</v>
      </c>
      <c r="H38" s="573"/>
      <c r="I38" s="574"/>
      <c r="J38" s="574"/>
      <c r="K38" s="504">
        <f t="shared" ref="K38:S38" si="23">SUM(K36:K37)</f>
        <v>0</v>
      </c>
      <c r="L38" s="504">
        <f t="shared" si="23"/>
        <v>0</v>
      </c>
      <c r="M38" s="504" t="e">
        <f t="shared" si="23"/>
        <v>#REF!</v>
      </c>
      <c r="N38" s="504">
        <f t="shared" si="23"/>
        <v>0</v>
      </c>
      <c r="O38" s="504" t="e">
        <f t="shared" si="23"/>
        <v>#REF!</v>
      </c>
      <c r="P38" s="504">
        <f t="shared" si="23"/>
        <v>0</v>
      </c>
      <c r="Q38" s="504" t="e">
        <f t="shared" si="23"/>
        <v>#REF!</v>
      </c>
      <c r="R38" s="504">
        <f t="shared" si="23"/>
        <v>0</v>
      </c>
      <c r="S38" s="504" t="e">
        <f t="shared" si="23"/>
        <v>#REF!</v>
      </c>
      <c r="T38" s="504"/>
      <c r="U38" s="504">
        <f>SUM(U36:U37)</f>
        <v>0</v>
      </c>
      <c r="V38" s="504" t="e">
        <f>SUM(V36:V37)</f>
        <v>#REF!</v>
      </c>
      <c r="W38" s="504" t="e">
        <f>SUM(W36:W37)</f>
        <v>#REF!</v>
      </c>
      <c r="X38" s="504" t="e">
        <f>SUM(X36:X37)</f>
        <v>#REF!</v>
      </c>
      <c r="Y38" s="504" t="e">
        <f>SUM(Y36:Y37)</f>
        <v>#REF!</v>
      </c>
      <c r="Z38" s="504"/>
      <c r="AA38" s="504">
        <f>SUM(AA36:AA37)</f>
        <v>0</v>
      </c>
      <c r="AB38" s="504" t="e">
        <f>SUM(AB36:AB37)</f>
        <v>#REF!</v>
      </c>
      <c r="AC38" s="504" t="e">
        <f>SUM(AC36:AC37)</f>
        <v>#REF!</v>
      </c>
      <c r="AD38" s="504" t="e">
        <f>SUM(AD36:AD37)</f>
        <v>#REF!</v>
      </c>
      <c r="AE38" s="504" t="e">
        <f>SUM(AE36:AE37)</f>
        <v>#REF!</v>
      </c>
    </row>
    <row r="39" spans="1:34" s="557" customFormat="1" ht="14.25" customHeight="1">
      <c r="B39" s="575"/>
      <c r="C39" s="576"/>
      <c r="D39" s="577"/>
      <c r="E39" s="527"/>
      <c r="F39" s="578"/>
      <c r="G39" s="530" t="e">
        <f>((D39*E39*$F$7)+(#REF!*D39*#REF!)+(D39*#REF!*#REF!^2)+(D39*#REF!*#REF!^3))=#REF!</f>
        <v>#REF!</v>
      </c>
      <c r="H39" s="579"/>
      <c r="K39" s="580"/>
      <c r="L39" s="522" t="s">
        <v>76</v>
      </c>
      <c r="M39" s="581"/>
      <c r="N39" s="522" t="s">
        <v>77</v>
      </c>
      <c r="O39" s="581"/>
      <c r="P39" s="522" t="s">
        <v>78</v>
      </c>
      <c r="Q39" s="581"/>
      <c r="R39" s="522" t="s">
        <v>79</v>
      </c>
      <c r="S39" s="582"/>
      <c r="T39" s="535"/>
      <c r="U39" s="583"/>
      <c r="V39" s="584"/>
      <c r="W39" s="584"/>
      <c r="X39" s="584"/>
      <c r="Y39" s="585"/>
      <c r="AA39" s="586"/>
      <c r="AB39" s="587"/>
      <c r="AC39" s="587"/>
      <c r="AD39" s="587"/>
      <c r="AE39" s="588"/>
    </row>
    <row r="40" spans="1:34" ht="14.25" customHeight="1">
      <c r="B40" s="502" t="s">
        <v>419</v>
      </c>
      <c r="C40" s="589"/>
      <c r="D40" s="504"/>
      <c r="E40" s="527"/>
      <c r="F40" s="504"/>
      <c r="G40" s="530" t="e">
        <f>((D40*E40*$F$7)+(#REF!*D40*#REF!)+(D40*#REF!*#REF!^2)+(D40*#REF!*#REF!^3))=#REF!</f>
        <v>#REF!</v>
      </c>
      <c r="H40" s="506"/>
      <c r="I40" s="451"/>
      <c r="J40" s="451"/>
      <c r="K40" s="563"/>
      <c r="L40" s="522" t="s">
        <v>76</v>
      </c>
      <c r="M40" s="564"/>
      <c r="N40" s="522" t="s">
        <v>77</v>
      </c>
      <c r="O40" s="564"/>
      <c r="P40" s="522" t="s">
        <v>78</v>
      </c>
      <c r="Q40" s="564"/>
      <c r="R40" s="522" t="s">
        <v>79</v>
      </c>
      <c r="S40" s="565"/>
      <c r="T40" s="535"/>
      <c r="U40" s="566"/>
      <c r="V40" s="567"/>
      <c r="W40" s="567"/>
      <c r="X40" s="567"/>
      <c r="Y40" s="568"/>
      <c r="AA40" s="569"/>
      <c r="AB40" s="570"/>
      <c r="AC40" s="570"/>
      <c r="AD40" s="570"/>
      <c r="AE40" s="571"/>
    </row>
    <row r="41" spans="1:34" ht="14.25" customHeight="1">
      <c r="B41" s="517"/>
      <c r="C41" s="518"/>
      <c r="D41" s="519"/>
      <c r="E41" s="518"/>
      <c r="F41" s="590"/>
      <c r="G41" s="530" t="e">
        <f>((D41*E41*$F$7)+(#REF!*D41*#REF!)+(D41*#REF!*#REF!^2)+(D41*#REF!*#REF!^3))=#REF!</f>
        <v>#REF!</v>
      </c>
      <c r="H41" s="556"/>
      <c r="I41" s="451"/>
      <c r="J41" s="451"/>
      <c r="K41" s="590">
        <f>SUM(K42:K43)</f>
        <v>0</v>
      </c>
      <c r="L41" s="522" t="s">
        <v>76</v>
      </c>
      <c r="M41" s="590" t="e">
        <f>SUM(M42:M43)</f>
        <v>#REF!</v>
      </c>
      <c r="N41" s="522" t="s">
        <v>77</v>
      </c>
      <c r="O41" s="590" t="e">
        <f>SUM(O42:O43)</f>
        <v>#REF!</v>
      </c>
      <c r="P41" s="522" t="s">
        <v>78</v>
      </c>
      <c r="Q41" s="590" t="e">
        <f>SUM(Q42:Q43)</f>
        <v>#REF!</v>
      </c>
      <c r="R41" s="522" t="s">
        <v>79</v>
      </c>
      <c r="S41" s="590" t="e">
        <f>SUM(S42:S43)</f>
        <v>#REF!</v>
      </c>
      <c r="T41" s="535"/>
      <c r="U41" s="590">
        <f>SUM(U42:U43)</f>
        <v>0</v>
      </c>
      <c r="V41" s="590" t="e">
        <f>SUM(V42:V43)</f>
        <v>#REF!</v>
      </c>
      <c r="W41" s="590" t="e">
        <f>SUM(W42:W43)</f>
        <v>#REF!</v>
      </c>
      <c r="X41" s="590" t="e">
        <f>SUM(X42:X43)</f>
        <v>#REF!</v>
      </c>
      <c r="Y41" s="590" t="e">
        <f>SUM(Y42:Y43)</f>
        <v>#REF!</v>
      </c>
      <c r="AA41" s="553">
        <f t="shared" ref="AA41:AE42" si="24">U41*$AC$6</f>
        <v>0</v>
      </c>
      <c r="AB41" s="553" t="e">
        <f t="shared" si="24"/>
        <v>#REF!</v>
      </c>
      <c r="AC41" s="553" t="e">
        <f t="shared" si="24"/>
        <v>#REF!</v>
      </c>
      <c r="AD41" s="553" t="e">
        <f t="shared" si="24"/>
        <v>#REF!</v>
      </c>
      <c r="AE41" s="553" t="e">
        <f t="shared" si="24"/>
        <v>#REF!</v>
      </c>
    </row>
    <row r="42" spans="1:34" s="447" customFormat="1" ht="24.65" customHeight="1">
      <c r="A42" s="591"/>
      <c r="B42" s="592"/>
      <c r="C42" s="527" t="s">
        <v>82</v>
      </c>
      <c r="D42" s="528"/>
      <c r="E42" s="527">
        <v>5</v>
      </c>
      <c r="F42" s="541">
        <f>E42*D42</f>
        <v>0</v>
      </c>
      <c r="G42" s="530" t="e">
        <f>((D42*E42*$F$7)+(#REF!*D42*#REF!)+(D42*#REF!*#REF!^2)+(D42*#REF!*#REF!^3))=#REF!</f>
        <v>#REF!</v>
      </c>
      <c r="H42" s="558"/>
      <c r="K42" s="532"/>
      <c r="L42" s="522" t="s">
        <v>76</v>
      </c>
      <c r="M42" s="533" t="e">
        <f>#REF!</f>
        <v>#REF!</v>
      </c>
      <c r="N42" s="522" t="s">
        <v>77</v>
      </c>
      <c r="O42" s="533" t="e">
        <f>#REF!</f>
        <v>#REF!</v>
      </c>
      <c r="P42" s="522" t="s">
        <v>78</v>
      </c>
      <c r="Q42" s="533" t="e">
        <f>#REF!</f>
        <v>#REF!</v>
      </c>
      <c r="R42" s="522" t="s">
        <v>79</v>
      </c>
      <c r="S42" s="534" t="e">
        <f>SUM(K42:Q42)</f>
        <v>#REF!</v>
      </c>
      <c r="T42" s="535"/>
      <c r="U42" s="536">
        <f>K42/$W$6</f>
        <v>0</v>
      </c>
      <c r="V42" s="533" t="e">
        <f>M42/$W$6</f>
        <v>#REF!</v>
      </c>
      <c r="W42" s="533" t="e">
        <f>O42/$W$6</f>
        <v>#REF!</v>
      </c>
      <c r="X42" s="533" t="e">
        <f>Q42/$W$6</f>
        <v>#REF!</v>
      </c>
      <c r="Y42" s="534" t="e">
        <f>SUM(U42:X42)</f>
        <v>#REF!</v>
      </c>
      <c r="AA42" s="537">
        <f t="shared" si="24"/>
        <v>0</v>
      </c>
      <c r="AB42" s="538" t="e">
        <f t="shared" si="24"/>
        <v>#REF!</v>
      </c>
      <c r="AC42" s="538" t="e">
        <f t="shared" si="24"/>
        <v>#REF!</v>
      </c>
      <c r="AD42" s="538" t="e">
        <f t="shared" si="24"/>
        <v>#REF!</v>
      </c>
      <c r="AE42" s="539" t="e">
        <f>SUM(AA42:AD42)</f>
        <v>#REF!</v>
      </c>
      <c r="AF42" s="542"/>
    </row>
    <row r="43" spans="1:34" s="447" customFormat="1" ht="14.25" customHeight="1">
      <c r="A43" s="591"/>
      <c r="B43" s="593"/>
      <c r="C43" s="527" t="s">
        <v>82</v>
      </c>
      <c r="D43" s="528"/>
      <c r="E43" s="527">
        <v>5</v>
      </c>
      <c r="F43" s="541">
        <f t="shared" ref="F43:F44" si="25">E43*D43</f>
        <v>0</v>
      </c>
      <c r="G43" s="530"/>
      <c r="H43" s="558"/>
      <c r="K43" s="532"/>
      <c r="L43" s="522"/>
      <c r="M43" s="533"/>
      <c r="N43" s="522"/>
      <c r="O43" s="533"/>
      <c r="P43" s="522"/>
      <c r="Q43" s="533"/>
      <c r="R43" s="522"/>
      <c r="S43" s="534"/>
      <c r="T43" s="535"/>
      <c r="U43" s="536"/>
      <c r="V43" s="533"/>
      <c r="W43" s="533"/>
      <c r="X43" s="533"/>
      <c r="Y43" s="534"/>
      <c r="AA43" s="537"/>
      <c r="AB43" s="538"/>
      <c r="AC43" s="538"/>
      <c r="AD43" s="538"/>
      <c r="AE43" s="539"/>
      <c r="AF43" s="542"/>
    </row>
    <row r="44" spans="1:34" s="605" customFormat="1" ht="14.25" customHeight="1">
      <c r="A44" s="447"/>
      <c r="B44" s="594"/>
      <c r="C44" s="595" t="s">
        <v>82</v>
      </c>
      <c r="D44" s="596"/>
      <c r="E44" s="595">
        <v>5</v>
      </c>
      <c r="F44" s="541">
        <f t="shared" si="25"/>
        <v>0</v>
      </c>
      <c r="G44" s="597"/>
      <c r="H44" s="598"/>
      <c r="I44" s="599"/>
      <c r="J44" s="599"/>
      <c r="K44" s="599"/>
      <c r="L44" s="600"/>
      <c r="M44" s="601"/>
      <c r="N44" s="600"/>
      <c r="O44" s="601"/>
      <c r="P44" s="600"/>
      <c r="Q44" s="601"/>
      <c r="R44" s="600"/>
      <c r="S44" s="602"/>
      <c r="T44" s="603"/>
      <c r="U44" s="604"/>
      <c r="V44" s="601"/>
      <c r="W44" s="601"/>
      <c r="X44" s="601"/>
      <c r="Y44" s="602"/>
      <c r="AA44" s="606"/>
      <c r="AB44" s="606"/>
      <c r="AC44" s="606"/>
      <c r="AD44" s="606"/>
      <c r="AE44" s="607"/>
      <c r="AF44" s="608"/>
      <c r="AH44" s="447"/>
    </row>
    <row r="45" spans="1:34" s="442" customFormat="1" ht="14.25" customHeight="1">
      <c r="B45" s="517" t="s">
        <v>125</v>
      </c>
      <c r="C45" s="519">
        <f t="shared" ref="C45" si="26">SUBTOTAL(9,C42:C44)</f>
        <v>0</v>
      </c>
      <c r="D45" s="519">
        <f>SUBTOTAL(9,D42:D44)</f>
        <v>0</v>
      </c>
      <c r="E45" s="519">
        <f t="shared" ref="E45:F45" si="27">SUBTOTAL(9,E42:E44)</f>
        <v>15</v>
      </c>
      <c r="F45" s="519">
        <f t="shared" si="27"/>
        <v>0</v>
      </c>
      <c r="G45" s="530" t="e">
        <f>((D45*E45*$F$7)+(#REF!*D45*#REF!)+(D45*#REF!*#REF!^2)+(D45*#REF!*#REF!^3))=#REF!</f>
        <v>#REF!</v>
      </c>
      <c r="H45" s="609"/>
      <c r="I45" s="574"/>
      <c r="J45" s="574"/>
      <c r="K45" s="504" t="e">
        <f>#REF!+#REF!+K41</f>
        <v>#REF!</v>
      </c>
      <c r="L45" s="522" t="s">
        <v>76</v>
      </c>
      <c r="M45" s="504" t="e">
        <f>#REF!+#REF!+M41</f>
        <v>#REF!</v>
      </c>
      <c r="N45" s="522" t="s">
        <v>77</v>
      </c>
      <c r="O45" s="504" t="e">
        <f>#REF!+#REF!+O41</f>
        <v>#REF!</v>
      </c>
      <c r="P45" s="522" t="s">
        <v>78</v>
      </c>
      <c r="Q45" s="504" t="e">
        <f>#REF!+#REF!+Q41</f>
        <v>#REF!</v>
      </c>
      <c r="R45" s="522" t="s">
        <v>79</v>
      </c>
      <c r="S45" s="504" t="e">
        <f>#REF!+#REF!+S41</f>
        <v>#REF!</v>
      </c>
      <c r="T45" s="535"/>
      <c r="U45" s="504" t="e">
        <f>#REF!+#REF!+U41</f>
        <v>#REF!</v>
      </c>
      <c r="V45" s="504" t="e">
        <f>#REF!+#REF!+V41</f>
        <v>#REF!</v>
      </c>
      <c r="W45" s="504" t="e">
        <f>#REF!+#REF!+W41</f>
        <v>#REF!</v>
      </c>
      <c r="X45" s="504" t="e">
        <f>#REF!+#REF!+X41</f>
        <v>#REF!</v>
      </c>
      <c r="Y45" s="504" t="e">
        <f>#REF!+#REF!+Y41</f>
        <v>#REF!</v>
      </c>
      <c r="Z45" s="447"/>
      <c r="AA45" s="610">
        <f>SUM(AA42:AA43)</f>
        <v>0</v>
      </c>
      <c r="AB45" s="611" t="e">
        <f>SUM(AB42:AB43)</f>
        <v>#REF!</v>
      </c>
      <c r="AC45" s="611" t="e">
        <f>SUM(AC42:AC43)</f>
        <v>#REF!</v>
      </c>
      <c r="AD45" s="611" t="e">
        <f>SUM(AD42:AD43)</f>
        <v>#REF!</v>
      </c>
      <c r="AE45" s="612" t="e">
        <f>SUM(AE42:AE43)</f>
        <v>#REF!</v>
      </c>
    </row>
    <row r="46" spans="1:34" s="447" customFormat="1" ht="14.25" customHeight="1">
      <c r="B46" s="544"/>
      <c r="C46" s="527"/>
      <c r="D46" s="528"/>
      <c r="E46" s="527"/>
      <c r="F46" s="528"/>
      <c r="G46" s="530" t="e">
        <f>((D46*E46*$F$7)+(#REF!*D46*#REF!)+(D46*#REF!*#REF!^2)+(D46*#REF!*#REF!^3))=#REF!</f>
        <v>#REF!</v>
      </c>
      <c r="H46" s="558"/>
      <c r="K46" s="559"/>
      <c r="L46" s="522" t="s">
        <v>76</v>
      </c>
      <c r="M46" s="560"/>
      <c r="N46" s="522" t="s">
        <v>77</v>
      </c>
      <c r="O46" s="560"/>
      <c r="P46" s="522" t="s">
        <v>78</v>
      </c>
      <c r="Q46" s="560"/>
      <c r="R46" s="522" t="s">
        <v>79</v>
      </c>
      <c r="S46" s="561"/>
      <c r="T46" s="535"/>
      <c r="U46" s="536"/>
      <c r="V46" s="533"/>
      <c r="W46" s="533"/>
      <c r="X46" s="533"/>
      <c r="Y46" s="534"/>
      <c r="AA46" s="537"/>
      <c r="AB46" s="562"/>
      <c r="AC46" s="562"/>
      <c r="AD46" s="562"/>
      <c r="AE46" s="539"/>
    </row>
    <row r="47" spans="1:34" ht="14.25" customHeight="1">
      <c r="B47" s="502" t="s">
        <v>420</v>
      </c>
      <c r="C47" s="589"/>
      <c r="D47" s="504"/>
      <c r="E47" s="589"/>
      <c r="F47" s="504"/>
      <c r="G47" s="530" t="e">
        <f>((D47*E47*$F$7)+(#REF!*D47*#REF!)+(D47*#REF!*#REF!^2)+(D47*#REF!*#REF!^3))=#REF!</f>
        <v>#REF!</v>
      </c>
      <c r="H47" s="506"/>
      <c r="K47" s="563"/>
      <c r="L47" s="522" t="s">
        <v>76</v>
      </c>
      <c r="M47" s="564"/>
      <c r="N47" s="522" t="s">
        <v>77</v>
      </c>
      <c r="O47" s="564"/>
      <c r="P47" s="522" t="s">
        <v>78</v>
      </c>
      <c r="Q47" s="564"/>
      <c r="R47" s="522" t="s">
        <v>79</v>
      </c>
      <c r="S47" s="565"/>
      <c r="T47" s="535"/>
      <c r="U47" s="566"/>
      <c r="V47" s="567"/>
      <c r="W47" s="567"/>
      <c r="X47" s="567"/>
      <c r="Y47" s="568"/>
      <c r="AA47" s="569"/>
      <c r="AB47" s="570"/>
      <c r="AC47" s="570"/>
      <c r="AD47" s="570"/>
      <c r="AE47" s="571"/>
    </row>
    <row r="48" spans="1:34" ht="14.25" customHeight="1">
      <c r="B48" s="517"/>
      <c r="C48" s="589"/>
      <c r="D48" s="504"/>
      <c r="E48" s="589"/>
      <c r="F48" s="590"/>
      <c r="G48" s="530" t="e">
        <f>((D48*E48*$F$7)+(#REF!*D48*#REF!)+(D48*#REF!*#REF!^2)+(D48*#REF!*#REF!^3))=#REF!</f>
        <v>#REF!</v>
      </c>
      <c r="H48" s="613"/>
      <c r="K48" s="590">
        <f>SUM(K49:K56)</f>
        <v>0</v>
      </c>
      <c r="L48" s="522" t="s">
        <v>76</v>
      </c>
      <c r="M48" s="590" t="e">
        <f>SUM(M49:M56)</f>
        <v>#REF!</v>
      </c>
      <c r="N48" s="522" t="s">
        <v>77</v>
      </c>
      <c r="O48" s="590" t="e">
        <f>SUM(O49:O56)</f>
        <v>#REF!</v>
      </c>
      <c r="P48" s="522" t="s">
        <v>78</v>
      </c>
      <c r="Q48" s="590" t="e">
        <f>SUM(Q49:Q56)</f>
        <v>#REF!</v>
      </c>
      <c r="R48" s="522" t="s">
        <v>79</v>
      </c>
      <c r="S48" s="590" t="e">
        <f>SUM(S49:S56)</f>
        <v>#REF!</v>
      </c>
      <c r="T48" s="535"/>
      <c r="U48" s="550"/>
      <c r="V48" s="551"/>
      <c r="W48" s="551"/>
      <c r="X48" s="551"/>
      <c r="Y48" s="552"/>
      <c r="AA48" s="553"/>
      <c r="AB48" s="554"/>
      <c r="AC48" s="554"/>
      <c r="AD48" s="554"/>
      <c r="AE48" s="555"/>
    </row>
    <row r="49" spans="1:32" ht="14.25" customHeight="1">
      <c r="A49" s="591"/>
      <c r="B49" s="593"/>
      <c r="C49" s="527" t="s">
        <v>421</v>
      </c>
      <c r="D49" s="596"/>
      <c r="E49" s="527"/>
      <c r="F49" s="541">
        <f t="shared" ref="F49:F57" si="28">E49*D49</f>
        <v>0</v>
      </c>
      <c r="G49" s="530" t="e">
        <f>((D49*E49*$F$7)+(#REF!*D49*#REF!)+(D49*#REF!*#REF!^2)+(D49*#REF!*#REF!^3))=#REF!</f>
        <v>#REF!</v>
      </c>
      <c r="H49" s="493"/>
      <c r="K49" s="532"/>
      <c r="L49" s="522"/>
      <c r="M49" s="533"/>
      <c r="N49" s="522"/>
      <c r="O49" s="533"/>
      <c r="P49" s="522"/>
      <c r="Q49" s="533"/>
      <c r="R49" s="522"/>
      <c r="S49" s="534"/>
      <c r="T49" s="535"/>
      <c r="U49" s="536"/>
      <c r="V49" s="533"/>
      <c r="W49" s="533"/>
      <c r="X49" s="533"/>
      <c r="Y49" s="534"/>
      <c r="AA49" s="537"/>
      <c r="AB49" s="538"/>
      <c r="AC49" s="538"/>
      <c r="AD49" s="538"/>
      <c r="AE49" s="539"/>
    </row>
    <row r="50" spans="1:32" ht="14.25" customHeight="1">
      <c r="A50" s="591"/>
      <c r="B50" s="614"/>
      <c r="C50" s="527" t="s">
        <v>422</v>
      </c>
      <c r="D50" s="596"/>
      <c r="E50" s="527"/>
      <c r="F50" s="541">
        <f t="shared" si="28"/>
        <v>0</v>
      </c>
      <c r="G50" s="530" t="e">
        <f>((D50*E50*$F$7)+(#REF!*D50*#REF!)+(D50*#REF!*#REF!^2)+(D50*#REF!*#REF!^3))=#REF!</f>
        <v>#REF!</v>
      </c>
      <c r="H50" s="493"/>
      <c r="K50" s="532">
        <f>F50</f>
        <v>0</v>
      </c>
      <c r="L50" s="522" t="s">
        <v>76</v>
      </c>
      <c r="M50" s="533" t="e">
        <f>#REF!</f>
        <v>#REF!</v>
      </c>
      <c r="N50" s="522" t="s">
        <v>77</v>
      </c>
      <c r="O50" s="533" t="e">
        <f>#REF!</f>
        <v>#REF!</v>
      </c>
      <c r="P50" s="522" t="s">
        <v>78</v>
      </c>
      <c r="Q50" s="533" t="e">
        <f>#REF!</f>
        <v>#REF!</v>
      </c>
      <c r="R50" s="522" t="s">
        <v>79</v>
      </c>
      <c r="S50" s="534" t="e">
        <f t="shared" ref="S50:S56" si="29">SUM(K50:Q50)</f>
        <v>#REF!</v>
      </c>
      <c r="T50" s="535"/>
      <c r="U50" s="536">
        <f t="shared" ref="U50:U56" si="30">K50/$W$6</f>
        <v>0</v>
      </c>
      <c r="V50" s="533" t="e">
        <f t="shared" ref="V50:V56" si="31">M50/$W$6</f>
        <v>#REF!</v>
      </c>
      <c r="W50" s="533" t="e">
        <f t="shared" ref="W50:W56" si="32">O50/$W$6</f>
        <v>#REF!</v>
      </c>
      <c r="X50" s="533" t="e">
        <f t="shared" ref="X50:X56" si="33">Q50/$W$6</f>
        <v>#REF!</v>
      </c>
      <c r="Y50" s="534" t="e">
        <f t="shared" ref="Y50:Y56" si="34">SUM(U50:X50)</f>
        <v>#REF!</v>
      </c>
      <c r="AA50" s="537">
        <f t="shared" ref="AA50:AD56" si="35">U50*$AC$6</f>
        <v>0</v>
      </c>
      <c r="AB50" s="538" t="e">
        <f t="shared" si="35"/>
        <v>#REF!</v>
      </c>
      <c r="AC50" s="538" t="e">
        <f t="shared" si="35"/>
        <v>#REF!</v>
      </c>
      <c r="AD50" s="538" t="e">
        <f t="shared" si="35"/>
        <v>#REF!</v>
      </c>
      <c r="AE50" s="539" t="e">
        <f t="shared" ref="AE50:AE56" si="36">SUM(AA50:AD50)</f>
        <v>#REF!</v>
      </c>
    </row>
    <row r="51" spans="1:32" ht="14.25" customHeight="1">
      <c r="A51" s="591"/>
      <c r="B51" s="614"/>
      <c r="C51" s="527" t="s">
        <v>423</v>
      </c>
      <c r="D51" s="596"/>
      <c r="E51" s="527"/>
      <c r="F51" s="541">
        <f t="shared" si="28"/>
        <v>0</v>
      </c>
      <c r="G51" s="530" t="e">
        <f>((D51*E51*$F$7)+(#REF!*D51*#REF!)+(D51*#REF!*#REF!^2)+(D51*#REF!*#REF!^3))=#REF!</f>
        <v>#REF!</v>
      </c>
      <c r="H51" s="493"/>
      <c r="K51" s="532">
        <f>F51</f>
        <v>0</v>
      </c>
      <c r="L51" s="522" t="s">
        <v>76</v>
      </c>
      <c r="M51" s="533" t="e">
        <f>#REF!</f>
        <v>#REF!</v>
      </c>
      <c r="N51" s="522" t="s">
        <v>77</v>
      </c>
      <c r="O51" s="533" t="e">
        <f>#REF!</f>
        <v>#REF!</v>
      </c>
      <c r="P51" s="522" t="s">
        <v>78</v>
      </c>
      <c r="Q51" s="533" t="e">
        <f>#REF!</f>
        <v>#REF!</v>
      </c>
      <c r="R51" s="522" t="s">
        <v>79</v>
      </c>
      <c r="S51" s="534" t="e">
        <f t="shared" si="29"/>
        <v>#REF!</v>
      </c>
      <c r="T51" s="535"/>
      <c r="U51" s="536">
        <f t="shared" si="30"/>
        <v>0</v>
      </c>
      <c r="V51" s="533" t="e">
        <f t="shared" si="31"/>
        <v>#REF!</v>
      </c>
      <c r="W51" s="533" t="e">
        <f t="shared" si="32"/>
        <v>#REF!</v>
      </c>
      <c r="X51" s="533" t="e">
        <f t="shared" si="33"/>
        <v>#REF!</v>
      </c>
      <c r="Y51" s="534" t="e">
        <f t="shared" si="34"/>
        <v>#REF!</v>
      </c>
      <c r="AA51" s="537">
        <f t="shared" si="35"/>
        <v>0</v>
      </c>
      <c r="AB51" s="538" t="e">
        <f t="shared" si="35"/>
        <v>#REF!</v>
      </c>
      <c r="AC51" s="538" t="e">
        <f t="shared" si="35"/>
        <v>#REF!</v>
      </c>
      <c r="AD51" s="538" t="e">
        <f t="shared" si="35"/>
        <v>#REF!</v>
      </c>
      <c r="AE51" s="539" t="e">
        <f t="shared" si="36"/>
        <v>#REF!</v>
      </c>
    </row>
    <row r="52" spans="1:32" ht="14.25" customHeight="1">
      <c r="A52" s="591"/>
      <c r="B52" s="614"/>
      <c r="C52" s="527" t="s">
        <v>423</v>
      </c>
      <c r="D52" s="596"/>
      <c r="E52" s="527"/>
      <c r="F52" s="541">
        <f t="shared" si="28"/>
        <v>0</v>
      </c>
      <c r="G52" s="530" t="e">
        <f>((D52*E52*$F$7)+(#REF!*D52*#REF!)+(D52*#REF!*#REF!^2)+(D52*#REF!*#REF!^3))=#REF!</f>
        <v>#REF!</v>
      </c>
      <c r="H52" s="493"/>
      <c r="K52" s="532"/>
      <c r="L52" s="522"/>
      <c r="M52" s="533"/>
      <c r="N52" s="522"/>
      <c r="O52" s="533" t="e">
        <f>#REF!</f>
        <v>#REF!</v>
      </c>
      <c r="P52" s="522"/>
      <c r="Q52" s="533"/>
      <c r="R52" s="522"/>
      <c r="S52" s="534"/>
      <c r="T52" s="535"/>
      <c r="U52" s="536"/>
      <c r="V52" s="533"/>
      <c r="W52" s="533" t="e">
        <f t="shared" si="32"/>
        <v>#REF!</v>
      </c>
      <c r="X52" s="533"/>
      <c r="Y52" s="534"/>
      <c r="AA52" s="537"/>
      <c r="AB52" s="538"/>
      <c r="AC52" s="538" t="e">
        <f t="shared" si="35"/>
        <v>#REF!</v>
      </c>
      <c r="AD52" s="538"/>
      <c r="AE52" s="539"/>
    </row>
    <row r="53" spans="1:32" ht="27" customHeight="1">
      <c r="A53" s="591"/>
      <c r="B53" s="614"/>
      <c r="C53" s="527" t="s">
        <v>424</v>
      </c>
      <c r="D53" s="596"/>
      <c r="E53" s="527"/>
      <c r="F53" s="541">
        <f t="shared" si="28"/>
        <v>0</v>
      </c>
      <c r="G53" s="530" t="e">
        <f>((D53*E53*$F$7)+(#REF!*D53*#REF!)+(D53*#REF!*#REF!^2)+(D53*#REF!*#REF!^3))=#REF!</f>
        <v>#REF!</v>
      </c>
      <c r="H53" s="493"/>
      <c r="K53" s="532"/>
      <c r="L53" s="522"/>
      <c r="M53" s="533"/>
      <c r="N53" s="522"/>
      <c r="O53" s="533" t="e">
        <f>#REF!</f>
        <v>#REF!</v>
      </c>
      <c r="P53" s="522"/>
      <c r="Q53" s="533"/>
      <c r="R53" s="522"/>
      <c r="S53" s="534"/>
      <c r="T53" s="535"/>
      <c r="U53" s="536"/>
      <c r="V53" s="533"/>
      <c r="W53" s="533" t="e">
        <f t="shared" si="32"/>
        <v>#REF!</v>
      </c>
      <c r="X53" s="533"/>
      <c r="Y53" s="534"/>
      <c r="AA53" s="537"/>
      <c r="AB53" s="538"/>
      <c r="AC53" s="538" t="e">
        <f t="shared" si="35"/>
        <v>#REF!</v>
      </c>
      <c r="AD53" s="538"/>
      <c r="AE53" s="539"/>
    </row>
    <row r="54" spans="1:32" ht="46.5" customHeight="1">
      <c r="A54" s="591"/>
      <c r="B54" s="615"/>
      <c r="C54" s="527" t="s">
        <v>423</v>
      </c>
      <c r="D54" s="596"/>
      <c r="E54" s="527"/>
      <c r="F54" s="541">
        <f>E54*D54</f>
        <v>0</v>
      </c>
      <c r="G54" s="530" t="e">
        <f>((D54*E54*$F$7)+(#REF!*D54*#REF!)+(D54*#REF!*#REF!^2)+(D54*#REF!*#REF!^3))=#REF!</f>
        <v>#REF!</v>
      </c>
      <c r="H54" s="493"/>
      <c r="K54" s="532"/>
      <c r="L54" s="522"/>
      <c r="M54" s="533"/>
      <c r="N54" s="522"/>
      <c r="O54" s="533"/>
      <c r="P54" s="522"/>
      <c r="Q54" s="533"/>
      <c r="R54" s="522"/>
      <c r="S54" s="534"/>
      <c r="T54" s="535"/>
      <c r="U54" s="536"/>
      <c r="V54" s="533"/>
      <c r="W54" s="533"/>
      <c r="X54" s="533"/>
      <c r="Y54" s="534"/>
      <c r="AA54" s="537"/>
      <c r="AB54" s="538"/>
      <c r="AC54" s="538"/>
      <c r="AD54" s="538"/>
      <c r="AE54" s="539"/>
    </row>
    <row r="55" spans="1:32" s="447" customFormat="1" ht="14.25" customHeight="1">
      <c r="A55" s="591"/>
      <c r="B55" s="614"/>
      <c r="C55" s="595" t="s">
        <v>425</v>
      </c>
      <c r="D55" s="596"/>
      <c r="E55" s="595"/>
      <c r="F55" s="596">
        <f t="shared" si="28"/>
        <v>0</v>
      </c>
      <c r="G55" s="597" t="e">
        <f>((D55*E55*$F$7)+(#REF!*D55*#REF!)+(D55*#REF!*#REF!^2)+(D55*#REF!*#REF!^3))=#REF!</f>
        <v>#REF!</v>
      </c>
      <c r="H55" s="493"/>
      <c r="K55" s="616"/>
      <c r="L55" s="617"/>
      <c r="M55" s="618"/>
      <c r="N55" s="617"/>
      <c r="O55" s="618"/>
      <c r="P55" s="617"/>
      <c r="Q55" s="618"/>
      <c r="R55" s="617"/>
      <c r="S55" s="619"/>
      <c r="T55" s="535"/>
      <c r="U55" s="620"/>
      <c r="V55" s="618"/>
      <c r="W55" s="618"/>
      <c r="X55" s="618"/>
      <c r="Y55" s="619"/>
      <c r="AA55" s="621"/>
      <c r="AB55" s="622"/>
      <c r="AC55" s="622"/>
      <c r="AD55" s="622"/>
      <c r="AE55" s="623"/>
    </row>
    <row r="56" spans="1:32" ht="14.25" customHeight="1">
      <c r="A56" s="591"/>
      <c r="B56" s="614"/>
      <c r="C56" s="527" t="s">
        <v>426</v>
      </c>
      <c r="D56" s="596"/>
      <c r="E56" s="527"/>
      <c r="F56" s="541">
        <f t="shared" si="28"/>
        <v>0</v>
      </c>
      <c r="G56" s="530" t="e">
        <f>((D56*E56*$F$7)+(#REF!*D56*#REF!)+(D56*#REF!*#REF!^2)+(D56*#REF!*#REF!^3))=#REF!</f>
        <v>#REF!</v>
      </c>
      <c r="H56" s="493"/>
      <c r="K56" s="532">
        <f>F56</f>
        <v>0</v>
      </c>
      <c r="L56" s="522" t="s">
        <v>76</v>
      </c>
      <c r="M56" s="533" t="e">
        <f>#REF!</f>
        <v>#REF!</v>
      </c>
      <c r="N56" s="522" t="s">
        <v>77</v>
      </c>
      <c r="O56" s="533" t="e">
        <f>#REF!</f>
        <v>#REF!</v>
      </c>
      <c r="P56" s="522" t="s">
        <v>78</v>
      </c>
      <c r="Q56" s="533" t="e">
        <f>#REF!</f>
        <v>#REF!</v>
      </c>
      <c r="R56" s="522" t="s">
        <v>79</v>
      </c>
      <c r="S56" s="534" t="e">
        <f t="shared" si="29"/>
        <v>#REF!</v>
      </c>
      <c r="T56" s="535"/>
      <c r="U56" s="536">
        <f t="shared" si="30"/>
        <v>0</v>
      </c>
      <c r="V56" s="533" t="e">
        <f t="shared" si="31"/>
        <v>#REF!</v>
      </c>
      <c r="W56" s="533" t="e">
        <f t="shared" si="32"/>
        <v>#REF!</v>
      </c>
      <c r="X56" s="533" t="e">
        <f t="shared" si="33"/>
        <v>#REF!</v>
      </c>
      <c r="Y56" s="534" t="e">
        <f t="shared" si="34"/>
        <v>#REF!</v>
      </c>
      <c r="AA56" s="537">
        <f t="shared" si="35"/>
        <v>0</v>
      </c>
      <c r="AB56" s="538" t="e">
        <f t="shared" si="35"/>
        <v>#REF!</v>
      </c>
      <c r="AC56" s="538" t="e">
        <f t="shared" si="35"/>
        <v>#REF!</v>
      </c>
      <c r="AD56" s="538" t="e">
        <f t="shared" si="35"/>
        <v>#REF!</v>
      </c>
      <c r="AE56" s="539" t="e">
        <f t="shared" si="36"/>
        <v>#REF!</v>
      </c>
      <c r="AF56" s="624"/>
    </row>
    <row r="57" spans="1:32" ht="14.25" customHeight="1">
      <c r="A57" s="625" t="s">
        <v>90</v>
      </c>
      <c r="B57" s="614"/>
      <c r="C57" s="527" t="s">
        <v>135</v>
      </c>
      <c r="D57" s="596"/>
      <c r="E57" s="527"/>
      <c r="F57" s="541">
        <f t="shared" si="28"/>
        <v>0</v>
      </c>
      <c r="G57" s="530" t="e">
        <f>((D57*E57*$F$7)+(#REF!*D57*#REF!)+(D57*#REF!*#REF!^2)+(D57*#REF!*#REF!^3))=#REF!</f>
        <v>#REF!</v>
      </c>
      <c r="H57" s="493"/>
      <c r="K57" s="536"/>
      <c r="L57" s="522"/>
      <c r="M57" s="533"/>
      <c r="N57" s="522"/>
      <c r="O57" s="533"/>
      <c r="P57" s="522"/>
      <c r="Q57" s="533"/>
      <c r="R57" s="522"/>
      <c r="S57" s="534"/>
      <c r="T57" s="535"/>
      <c r="U57" s="536"/>
      <c r="V57" s="533"/>
      <c r="W57" s="533"/>
      <c r="X57" s="533"/>
      <c r="Y57" s="534"/>
      <c r="AA57" s="537"/>
      <c r="AB57" s="537"/>
      <c r="AC57" s="537"/>
      <c r="AD57" s="537"/>
      <c r="AE57" s="626"/>
      <c r="AF57" s="624"/>
    </row>
    <row r="58" spans="1:32" ht="14.25" customHeight="1">
      <c r="A58" s="625"/>
      <c r="B58" s="614"/>
      <c r="C58" s="527"/>
      <c r="D58" s="528"/>
      <c r="E58" s="527"/>
      <c r="F58" s="578"/>
      <c r="G58" s="530"/>
      <c r="H58" s="493"/>
      <c r="K58" s="536"/>
      <c r="L58" s="522"/>
      <c r="M58" s="533"/>
      <c r="N58" s="522"/>
      <c r="O58" s="533"/>
      <c r="P58" s="522"/>
      <c r="Q58" s="533"/>
      <c r="R58" s="522"/>
      <c r="S58" s="534"/>
      <c r="T58" s="535"/>
      <c r="U58" s="536"/>
      <c r="V58" s="533"/>
      <c r="W58" s="533"/>
      <c r="X58" s="533"/>
      <c r="Y58" s="534"/>
      <c r="AA58" s="537"/>
      <c r="AB58" s="537"/>
      <c r="AC58" s="537"/>
      <c r="AD58" s="537"/>
      <c r="AE58" s="626"/>
      <c r="AF58" s="624"/>
    </row>
    <row r="59" spans="1:32" s="627" customFormat="1" ht="14.25" customHeight="1">
      <c r="B59" s="517" t="s">
        <v>427</v>
      </c>
      <c r="C59" s="519">
        <f t="shared" ref="C59:F59" si="37">SUBTOTAL(9,C49:C58)</f>
        <v>0</v>
      </c>
      <c r="D59" s="519">
        <f>SUBTOTAL(9,D49:D58)</f>
        <v>0</v>
      </c>
      <c r="E59" s="519">
        <f t="shared" si="37"/>
        <v>0</v>
      </c>
      <c r="F59" s="519">
        <f t="shared" si="37"/>
        <v>0</v>
      </c>
      <c r="G59" s="530" t="e">
        <f>((D59*E59*$F$7)+(#REF!*D59*#REF!)+(D59*#REF!*#REF!^2)+(D59*#REF!*#REF!^3))=#REF!</f>
        <v>#REF!</v>
      </c>
      <c r="H59" s="628"/>
      <c r="I59" s="629"/>
      <c r="J59" s="629"/>
      <c r="K59" s="504">
        <f>SUM(K49:K56)</f>
        <v>0</v>
      </c>
      <c r="L59" s="522" t="s">
        <v>76</v>
      </c>
      <c r="M59" s="504" t="e">
        <f>SUM(M49:M56)</f>
        <v>#REF!</v>
      </c>
      <c r="N59" s="522" t="s">
        <v>77</v>
      </c>
      <c r="O59" s="504" t="e">
        <f>SUM(O49:O56)</f>
        <v>#REF!</v>
      </c>
      <c r="P59" s="522" t="s">
        <v>78</v>
      </c>
      <c r="Q59" s="504" t="e">
        <f>SUM(Q49:Q56)</f>
        <v>#REF!</v>
      </c>
      <c r="R59" s="522" t="s">
        <v>79</v>
      </c>
      <c r="S59" s="504" t="e">
        <f>SUM(S49:S56)</f>
        <v>#REF!</v>
      </c>
      <c r="T59" s="535"/>
      <c r="U59" s="504">
        <f>SUM(U49:U56)</f>
        <v>0</v>
      </c>
      <c r="V59" s="504" t="e">
        <f>SUM(V49:V56)</f>
        <v>#REF!</v>
      </c>
      <c r="W59" s="504" t="e">
        <f>SUM(W49:W56)</f>
        <v>#REF!</v>
      </c>
      <c r="X59" s="504" t="e">
        <f>SUM(X49:X56)</f>
        <v>#REF!</v>
      </c>
      <c r="Y59" s="504" t="e">
        <f>SUM(Y49:Y56)</f>
        <v>#REF!</v>
      </c>
      <c r="Z59" s="504"/>
      <c r="AA59" s="504">
        <f>SUM(AA49:AA56)</f>
        <v>0</v>
      </c>
      <c r="AB59" s="504" t="e">
        <f>SUM(AB49:AB56)</f>
        <v>#REF!</v>
      </c>
      <c r="AC59" s="504" t="e">
        <f>SUM(AC49:AC56)</f>
        <v>#REF!</v>
      </c>
      <c r="AD59" s="504" t="e">
        <f>SUM(AD49:AD56)</f>
        <v>#REF!</v>
      </c>
      <c r="AE59" s="504" t="e">
        <f>SUM(AE49:AE56)</f>
        <v>#REF!</v>
      </c>
    </row>
    <row r="60" spans="1:32" ht="14.25" customHeight="1">
      <c r="B60" s="630"/>
      <c r="C60" s="527"/>
      <c r="D60" s="528"/>
      <c r="E60" s="527"/>
      <c r="F60" s="541"/>
      <c r="G60" s="530" t="e">
        <f>((D60*E60*$F$7)+(#REF!*D60*#REF!)+(D60*#REF!*#REF!^2)+(D60*#REF!*#REF!^3))=#REF!</f>
        <v>#REF!</v>
      </c>
      <c r="H60" s="631"/>
      <c r="K60" s="632"/>
      <c r="L60" s="522" t="s">
        <v>76</v>
      </c>
      <c r="M60" s="633"/>
      <c r="N60" s="522" t="s">
        <v>77</v>
      </c>
      <c r="O60" s="633"/>
      <c r="P60" s="522" t="s">
        <v>78</v>
      </c>
      <c r="Q60" s="633"/>
      <c r="R60" s="522" t="s">
        <v>79</v>
      </c>
      <c r="S60" s="634"/>
      <c r="T60" s="535"/>
      <c r="U60" s="635"/>
      <c r="V60" s="636"/>
      <c r="W60" s="636"/>
      <c r="X60" s="636"/>
      <c r="Y60" s="637"/>
      <c r="AA60" s="638"/>
      <c r="AB60" s="639"/>
      <c r="AC60" s="639"/>
      <c r="AD60" s="639"/>
      <c r="AE60" s="640"/>
    </row>
    <row r="61" spans="1:32" s="442" customFormat="1" ht="14.25" customHeight="1">
      <c r="B61" s="502" t="s">
        <v>520</v>
      </c>
      <c r="C61" s="589"/>
      <c r="D61" s="504"/>
      <c r="E61" s="504"/>
      <c r="F61" s="504"/>
      <c r="G61" s="530" t="e">
        <f>((D61*E61*$F$7)+(#REF!*D61*#REF!)+(D61*#REF!*#REF!^2)+(D61*#REF!*#REF!^3))=#REF!</f>
        <v>#REF!</v>
      </c>
      <c r="H61" s="506"/>
      <c r="I61" s="557"/>
      <c r="J61" s="447"/>
      <c r="K61" s="641"/>
      <c r="L61" s="522"/>
      <c r="M61" s="641"/>
      <c r="N61" s="522"/>
      <c r="O61" s="641"/>
      <c r="P61" s="522"/>
      <c r="Q61" s="641"/>
      <c r="R61" s="522"/>
      <c r="S61" s="642"/>
      <c r="T61" s="535"/>
      <c r="U61" s="566"/>
      <c r="V61" s="643"/>
      <c r="W61" s="643"/>
      <c r="X61" s="643"/>
      <c r="Y61" s="643"/>
      <c r="Z61" s="557"/>
      <c r="AA61" s="644"/>
      <c r="AB61" s="644"/>
      <c r="AC61" s="644"/>
      <c r="AD61" s="644"/>
      <c r="AE61" s="644"/>
    </row>
    <row r="62" spans="1:32" s="442" customFormat="1" ht="14.25" customHeight="1">
      <c r="B62" s="517"/>
      <c r="C62" s="519"/>
      <c r="D62" s="519"/>
      <c r="E62" s="519"/>
      <c r="F62" s="519"/>
      <c r="G62" s="530" t="e">
        <f>((D62*E62*$F$7)+(#REF!*D62*#REF!)+(D62*#REF!*#REF!^2)+(D62*#REF!*#REF!^3))=#REF!</f>
        <v>#REF!</v>
      </c>
      <c r="H62" s="521"/>
      <c r="I62" s="557"/>
      <c r="J62" s="447"/>
      <c r="K62" s="547"/>
      <c r="L62" s="522" t="s">
        <v>76</v>
      </c>
      <c r="M62" s="548"/>
      <c r="N62" s="522" t="s">
        <v>77</v>
      </c>
      <c r="O62" s="548"/>
      <c r="P62" s="522" t="s">
        <v>78</v>
      </c>
      <c r="Q62" s="548"/>
      <c r="R62" s="522" t="s">
        <v>79</v>
      </c>
      <c r="S62" s="549"/>
      <c r="T62" s="535"/>
      <c r="U62" s="550"/>
      <c r="V62" s="551"/>
      <c r="W62" s="551"/>
      <c r="X62" s="551"/>
      <c r="Y62" s="552"/>
      <c r="Z62" s="557"/>
      <c r="AA62" s="553"/>
      <c r="AB62" s="554"/>
      <c r="AC62" s="554"/>
      <c r="AD62" s="554"/>
      <c r="AE62" s="555"/>
    </row>
    <row r="63" spans="1:32" ht="32">
      <c r="B63" s="645" t="s">
        <v>506</v>
      </c>
      <c r="C63" s="646"/>
      <c r="D63" s="647">
        <f>SUBTOTAL(9,D64:D73)</f>
        <v>0</v>
      </c>
      <c r="E63" s="647">
        <f t="shared" ref="E63" si="38">SUBTOTAL(9,E64:E73)</f>
        <v>0</v>
      </c>
      <c r="F63" s="647">
        <f>SUBTOTAL(9,F64:F73)</f>
        <v>0</v>
      </c>
      <c r="G63" s="530" t="e">
        <f>((D63*E63*$F$7)+(#REF!*D63*#REF!)+(D63*#REF!*#REF!^2)+(D63*#REF!*#REF!^3))=#REF!</f>
        <v>#REF!</v>
      </c>
      <c r="H63" s="648"/>
      <c r="K63" s="647">
        <f t="shared" ref="K63:S63" si="39">SUM(K64:K72)</f>
        <v>0</v>
      </c>
      <c r="L63" s="647">
        <f t="shared" si="39"/>
        <v>0</v>
      </c>
      <c r="M63" s="647" t="e">
        <f t="shared" si="39"/>
        <v>#REF!</v>
      </c>
      <c r="N63" s="647">
        <f t="shared" si="39"/>
        <v>0</v>
      </c>
      <c r="O63" s="647" t="e">
        <f t="shared" si="39"/>
        <v>#REF!</v>
      </c>
      <c r="P63" s="647">
        <f t="shared" si="39"/>
        <v>0</v>
      </c>
      <c r="Q63" s="647" t="e">
        <f t="shared" si="39"/>
        <v>#REF!</v>
      </c>
      <c r="R63" s="647">
        <f t="shared" si="39"/>
        <v>0</v>
      </c>
      <c r="S63" s="647" t="e">
        <f t="shared" si="39"/>
        <v>#REF!</v>
      </c>
      <c r="T63" s="647"/>
      <c r="U63" s="647">
        <f>SUM(U64:U72)</f>
        <v>0</v>
      </c>
      <c r="V63" s="647" t="e">
        <f>SUM(V64:V72)</f>
        <v>#REF!</v>
      </c>
      <c r="W63" s="647" t="e">
        <f>SUM(W64:W72)</f>
        <v>#REF!</v>
      </c>
      <c r="X63" s="647" t="e">
        <f>SUM(X64:X72)</f>
        <v>#REF!</v>
      </c>
      <c r="Y63" s="647" t="e">
        <f>SUM(Y64:Y72)</f>
        <v>#REF!</v>
      </c>
      <c r="Z63" s="647"/>
      <c r="AA63" s="647">
        <f>SUM(AA64:AA72)</f>
        <v>0</v>
      </c>
      <c r="AB63" s="647" t="e">
        <f>SUM(AB64:AB72)</f>
        <v>#REF!</v>
      </c>
      <c r="AC63" s="647" t="e">
        <f>SUM(AC64:AC72)</f>
        <v>#REF!</v>
      </c>
      <c r="AD63" s="647" t="e">
        <f>SUM(AD64:AD72)</f>
        <v>#REF!</v>
      </c>
      <c r="AE63" s="647" t="e">
        <f>SUM(AE64:AE72)</f>
        <v>#REF!</v>
      </c>
    </row>
    <row r="64" spans="1:32" s="447" customFormat="1" ht="30" customHeight="1">
      <c r="A64" s="591"/>
      <c r="B64" s="649"/>
      <c r="C64" s="595" t="s">
        <v>428</v>
      </c>
      <c r="D64" s="596"/>
      <c r="E64" s="596"/>
      <c r="F64" s="596">
        <f>D64*E64</f>
        <v>0</v>
      </c>
      <c r="G64" s="530" t="e">
        <f>((D64*E64*$F$7)+(#REF!*D64*#REF!)+(D64*#REF!*#REF!^2)+(D64*#REF!*#REF!^3))=#REF!</f>
        <v>#REF!</v>
      </c>
      <c r="H64" s="493"/>
      <c r="K64" s="532">
        <f>F64</f>
        <v>0</v>
      </c>
      <c r="L64" s="522" t="s">
        <v>76</v>
      </c>
      <c r="M64" s="533" t="e">
        <f>#REF!</f>
        <v>#REF!</v>
      </c>
      <c r="N64" s="522" t="s">
        <v>77</v>
      </c>
      <c r="O64" s="533" t="e">
        <f>#REF!</f>
        <v>#REF!</v>
      </c>
      <c r="P64" s="522" t="s">
        <v>78</v>
      </c>
      <c r="Q64" s="533" t="e">
        <f>#REF!</f>
        <v>#REF!</v>
      </c>
      <c r="R64" s="522" t="s">
        <v>79</v>
      </c>
      <c r="S64" s="534" t="e">
        <f t="shared" ref="S64:S72" si="40">SUM(K64:Q64)</f>
        <v>#REF!</v>
      </c>
      <c r="T64" s="535"/>
      <c r="U64" s="536">
        <f t="shared" ref="U64:U72" si="41">K64/$W$6</f>
        <v>0</v>
      </c>
      <c r="V64" s="533" t="e">
        <f t="shared" ref="V64:V72" si="42">M64/$W$6</f>
        <v>#REF!</v>
      </c>
      <c r="W64" s="533" t="e">
        <f t="shared" ref="W64:W72" si="43">O64/$W$6</f>
        <v>#REF!</v>
      </c>
      <c r="X64" s="533" t="e">
        <f t="shared" ref="X64:X72" si="44">Q64/$W$6</f>
        <v>#REF!</v>
      </c>
      <c r="Y64" s="534" t="e">
        <f t="shared" ref="Y64:Y72" si="45">SUM(U64:X64)</f>
        <v>#REF!</v>
      </c>
      <c r="AA64" s="537">
        <f t="shared" ref="AA64:AD73" si="46">U64*$AC$6</f>
        <v>0</v>
      </c>
      <c r="AB64" s="538" t="e">
        <f t="shared" si="46"/>
        <v>#REF!</v>
      </c>
      <c r="AC64" s="538" t="e">
        <f t="shared" si="46"/>
        <v>#REF!</v>
      </c>
      <c r="AD64" s="538" t="e">
        <f t="shared" si="46"/>
        <v>#REF!</v>
      </c>
      <c r="AE64" s="539" t="e">
        <f t="shared" ref="AE64:AE72" si="47">SUM(AA64:AD64)</f>
        <v>#REF!</v>
      </c>
      <c r="AF64" s="542"/>
    </row>
    <row r="65" spans="2:34" s="447" customFormat="1" ht="23.15" customHeight="1">
      <c r="B65" s="650"/>
      <c r="C65" s="595" t="s">
        <v>429</v>
      </c>
      <c r="D65" s="596"/>
      <c r="E65" s="595"/>
      <c r="F65" s="596">
        <f t="shared" ref="F65" si="48">E65*D65</f>
        <v>0</v>
      </c>
      <c r="G65" s="530" t="e">
        <f>((D65*E65*$F$7)+(#REF!*D65*#REF!)+(D65*#REF!*#REF!^2)+(D65*#REF!*#REF!^3))=#REF!</f>
        <v>#REF!</v>
      </c>
      <c r="H65" s="493"/>
      <c r="K65" s="532">
        <f>F65</f>
        <v>0</v>
      </c>
      <c r="L65" s="522" t="s">
        <v>76</v>
      </c>
      <c r="M65" s="533" t="e">
        <f>#REF!</f>
        <v>#REF!</v>
      </c>
      <c r="N65" s="522" t="s">
        <v>77</v>
      </c>
      <c r="O65" s="533" t="e">
        <f>#REF!</f>
        <v>#REF!</v>
      </c>
      <c r="P65" s="522" t="s">
        <v>78</v>
      </c>
      <c r="Q65" s="533" t="e">
        <f>#REF!</f>
        <v>#REF!</v>
      </c>
      <c r="R65" s="522" t="s">
        <v>79</v>
      </c>
      <c r="S65" s="534" t="e">
        <f t="shared" si="40"/>
        <v>#REF!</v>
      </c>
      <c r="T65" s="535"/>
      <c r="U65" s="536">
        <f t="shared" si="41"/>
        <v>0</v>
      </c>
      <c r="V65" s="533" t="e">
        <f t="shared" si="42"/>
        <v>#REF!</v>
      </c>
      <c r="W65" s="533" t="e">
        <f t="shared" si="43"/>
        <v>#REF!</v>
      </c>
      <c r="X65" s="533" t="e">
        <f t="shared" si="44"/>
        <v>#REF!</v>
      </c>
      <c r="Y65" s="534" t="e">
        <f t="shared" si="45"/>
        <v>#REF!</v>
      </c>
      <c r="AA65" s="537">
        <f t="shared" si="46"/>
        <v>0</v>
      </c>
      <c r="AB65" s="538" t="e">
        <f t="shared" si="46"/>
        <v>#REF!</v>
      </c>
      <c r="AC65" s="538" t="e">
        <f t="shared" si="46"/>
        <v>#REF!</v>
      </c>
      <c r="AD65" s="538" t="e">
        <f t="shared" si="46"/>
        <v>#REF!</v>
      </c>
      <c r="AE65" s="539" t="e">
        <f t="shared" si="47"/>
        <v>#REF!</v>
      </c>
      <c r="AH65" s="535"/>
    </row>
    <row r="66" spans="2:34" s="447" customFormat="1" ht="31" customHeight="1">
      <c r="B66" s="650"/>
      <c r="C66" s="595" t="s">
        <v>430</v>
      </c>
      <c r="D66" s="596"/>
      <c r="E66" s="595"/>
      <c r="F66" s="596">
        <f>E66*D66</f>
        <v>0</v>
      </c>
      <c r="G66" s="530" t="e">
        <f>((D66*E66*$F$7)+(#REF!*D66*#REF!)+(D66*#REF!*#REF!^2)+(D66*#REF!*#REF!^3))=#REF!</f>
        <v>#REF!</v>
      </c>
      <c r="H66" s="493"/>
      <c r="K66" s="532">
        <f>F66</f>
        <v>0</v>
      </c>
      <c r="L66" s="522" t="s">
        <v>76</v>
      </c>
      <c r="M66" s="533" t="e">
        <f>#REF!</f>
        <v>#REF!</v>
      </c>
      <c r="N66" s="522" t="s">
        <v>77</v>
      </c>
      <c r="O66" s="533" t="e">
        <f>#REF!</f>
        <v>#REF!</v>
      </c>
      <c r="P66" s="522" t="s">
        <v>78</v>
      </c>
      <c r="Q66" s="533" t="e">
        <f>#REF!</f>
        <v>#REF!</v>
      </c>
      <c r="R66" s="522" t="s">
        <v>79</v>
      </c>
      <c r="S66" s="534" t="e">
        <f t="shared" si="40"/>
        <v>#REF!</v>
      </c>
      <c r="T66" s="535"/>
      <c r="U66" s="536">
        <f t="shared" si="41"/>
        <v>0</v>
      </c>
      <c r="V66" s="533" t="e">
        <f t="shared" si="42"/>
        <v>#REF!</v>
      </c>
      <c r="W66" s="533" t="e">
        <f t="shared" si="43"/>
        <v>#REF!</v>
      </c>
      <c r="X66" s="533" t="e">
        <f t="shared" si="44"/>
        <v>#REF!</v>
      </c>
      <c r="Y66" s="534" t="e">
        <f t="shared" si="45"/>
        <v>#REF!</v>
      </c>
      <c r="AA66" s="537">
        <f t="shared" si="46"/>
        <v>0</v>
      </c>
      <c r="AB66" s="538" t="e">
        <f t="shared" si="46"/>
        <v>#REF!</v>
      </c>
      <c r="AC66" s="538" t="e">
        <f t="shared" si="46"/>
        <v>#REF!</v>
      </c>
      <c r="AD66" s="538" t="e">
        <f t="shared" si="46"/>
        <v>#REF!</v>
      </c>
      <c r="AE66" s="539" t="e">
        <f t="shared" si="47"/>
        <v>#REF!</v>
      </c>
    </row>
    <row r="67" spans="2:34" s="447" customFormat="1" ht="40.5" customHeight="1">
      <c r="B67" s="650"/>
      <c r="C67" s="595" t="s">
        <v>431</v>
      </c>
      <c r="D67" s="596"/>
      <c r="E67" s="595"/>
      <c r="F67" s="596">
        <f t="shared" ref="F67:F70" si="49">E67*D67</f>
        <v>0</v>
      </c>
      <c r="G67" s="530"/>
      <c r="H67" s="493"/>
      <c r="K67" s="532"/>
      <c r="L67" s="522"/>
      <c r="M67" s="533"/>
      <c r="N67" s="522"/>
      <c r="O67" s="533"/>
      <c r="P67" s="522"/>
      <c r="Q67" s="533"/>
      <c r="R67" s="522"/>
      <c r="S67" s="534"/>
      <c r="T67" s="535"/>
      <c r="U67" s="536"/>
      <c r="V67" s="533"/>
      <c r="W67" s="533"/>
      <c r="X67" s="533"/>
      <c r="Y67" s="534"/>
      <c r="AA67" s="537"/>
      <c r="AB67" s="538"/>
      <c r="AC67" s="538"/>
      <c r="AD67" s="538"/>
      <c r="AE67" s="539"/>
    </row>
    <row r="68" spans="2:34" s="447" customFormat="1" ht="30" customHeight="1">
      <c r="B68" s="650"/>
      <c r="C68" s="595" t="s">
        <v>423</v>
      </c>
      <c r="D68" s="596"/>
      <c r="E68" s="595"/>
      <c r="F68" s="596">
        <f t="shared" si="49"/>
        <v>0</v>
      </c>
      <c r="G68" s="530"/>
      <c r="H68" s="493"/>
      <c r="K68" s="532"/>
      <c r="L68" s="522"/>
      <c r="M68" s="533"/>
      <c r="N68" s="522"/>
      <c r="O68" s="533"/>
      <c r="P68" s="522"/>
      <c r="Q68" s="533"/>
      <c r="R68" s="522"/>
      <c r="S68" s="534"/>
      <c r="T68" s="535"/>
      <c r="U68" s="536"/>
      <c r="V68" s="533"/>
      <c r="W68" s="533"/>
      <c r="X68" s="533"/>
      <c r="Y68" s="534"/>
      <c r="AA68" s="537"/>
      <c r="AB68" s="538"/>
      <c r="AC68" s="538"/>
      <c r="AD68" s="538"/>
      <c r="AE68" s="539"/>
    </row>
    <row r="69" spans="2:34" s="447" customFormat="1" ht="23.15" customHeight="1">
      <c r="B69" s="650"/>
      <c r="C69" s="595" t="s">
        <v>432</v>
      </c>
      <c r="D69" s="596"/>
      <c r="E69" s="595"/>
      <c r="F69" s="596">
        <f t="shared" si="49"/>
        <v>0</v>
      </c>
      <c r="G69" s="530"/>
      <c r="H69" s="493"/>
      <c r="K69" s="532"/>
      <c r="L69" s="522"/>
      <c r="M69" s="533"/>
      <c r="N69" s="522"/>
      <c r="O69" s="533"/>
      <c r="P69" s="522"/>
      <c r="Q69" s="533"/>
      <c r="R69" s="522"/>
      <c r="S69" s="534"/>
      <c r="T69" s="535"/>
      <c r="U69" s="536"/>
      <c r="V69" s="533"/>
      <c r="W69" s="533"/>
      <c r="X69" s="533"/>
      <c r="Y69" s="534"/>
      <c r="AA69" s="537"/>
      <c r="AB69" s="538"/>
      <c r="AC69" s="538"/>
      <c r="AD69" s="538"/>
      <c r="AE69" s="539"/>
    </row>
    <row r="70" spans="2:34" s="447" customFormat="1" ht="23.5" customHeight="1" thickBot="1">
      <c r="B70" s="650"/>
      <c r="C70" s="651" t="s">
        <v>423</v>
      </c>
      <c r="D70" s="652"/>
      <c r="E70" s="651"/>
      <c r="F70" s="596">
        <f t="shared" si="49"/>
        <v>0</v>
      </c>
      <c r="G70" s="597"/>
      <c r="H70" s="493"/>
      <c r="K70" s="616"/>
      <c r="L70" s="617"/>
      <c r="M70" s="618"/>
      <c r="N70" s="617"/>
      <c r="O70" s="618"/>
      <c r="P70" s="617"/>
      <c r="Q70" s="618"/>
      <c r="R70" s="617"/>
      <c r="S70" s="619"/>
      <c r="T70" s="535"/>
      <c r="U70" s="620"/>
      <c r="V70" s="618"/>
      <c r="W70" s="618"/>
      <c r="X70" s="618"/>
      <c r="Y70" s="619"/>
      <c r="AA70" s="621"/>
      <c r="AB70" s="622"/>
      <c r="AC70" s="622"/>
      <c r="AD70" s="622"/>
      <c r="AE70" s="623"/>
      <c r="AH70" s="653"/>
    </row>
    <row r="71" spans="2:34" s="447" customFormat="1" ht="35.15" customHeight="1">
      <c r="B71" s="654"/>
      <c r="C71" s="655" t="s">
        <v>424</v>
      </c>
      <c r="D71" s="656"/>
      <c r="E71" s="657"/>
      <c r="F71" s="658">
        <f>E71*D71</f>
        <v>0</v>
      </c>
      <c r="G71" s="597" t="e">
        <f>((D71*E71*$F$7)+(#REF!*D71*#REF!)+(D71*#REF!*#REF!^2)+(D71*#REF!*#REF!^3))=#REF!</f>
        <v>#REF!</v>
      </c>
      <c r="H71" s="493"/>
      <c r="K71" s="616"/>
      <c r="L71" s="617"/>
      <c r="M71" s="618"/>
      <c r="N71" s="617"/>
      <c r="O71" s="618"/>
      <c r="P71" s="617"/>
      <c r="Q71" s="618" t="e">
        <f>#REF!</f>
        <v>#REF!</v>
      </c>
      <c r="R71" s="617"/>
      <c r="S71" s="619"/>
      <c r="T71" s="535"/>
      <c r="U71" s="620"/>
      <c r="V71" s="618"/>
      <c r="W71" s="618"/>
      <c r="X71" s="618" t="e">
        <f t="shared" si="44"/>
        <v>#REF!</v>
      </c>
      <c r="Y71" s="619"/>
      <c r="AA71" s="621"/>
      <c r="AB71" s="622"/>
      <c r="AC71" s="622"/>
      <c r="AD71" s="622" t="e">
        <f t="shared" si="46"/>
        <v>#REF!</v>
      </c>
      <c r="AE71" s="623"/>
      <c r="AH71" s="659"/>
    </row>
    <row r="72" spans="2:34" s="447" customFormat="1" ht="56.5" customHeight="1">
      <c r="B72" s="650"/>
      <c r="C72" s="595" t="s">
        <v>424</v>
      </c>
      <c r="D72" s="596"/>
      <c r="E72" s="595"/>
      <c r="F72" s="596">
        <f>E72*D72*50%</f>
        <v>0</v>
      </c>
      <c r="G72" s="530" t="e">
        <f>((D72*E72*$F$7)+(#REF!*D72*#REF!)+(D72*#REF!*#REF!^2)+(D72*#REF!*#REF!^3))=#REF!</f>
        <v>#REF!</v>
      </c>
      <c r="H72" s="660"/>
      <c r="K72" s="532">
        <f>F72</f>
        <v>0</v>
      </c>
      <c r="L72" s="522" t="s">
        <v>76</v>
      </c>
      <c r="M72" s="533" t="e">
        <f>#REF!</f>
        <v>#REF!</v>
      </c>
      <c r="N72" s="522" t="s">
        <v>77</v>
      </c>
      <c r="O72" s="533" t="e">
        <f>#REF!</f>
        <v>#REF!</v>
      </c>
      <c r="P72" s="522" t="s">
        <v>78</v>
      </c>
      <c r="Q72" s="533" t="e">
        <f>#REF!</f>
        <v>#REF!</v>
      </c>
      <c r="R72" s="522" t="s">
        <v>79</v>
      </c>
      <c r="S72" s="534" t="e">
        <f t="shared" si="40"/>
        <v>#REF!</v>
      </c>
      <c r="T72" s="535"/>
      <c r="U72" s="536">
        <f t="shared" si="41"/>
        <v>0</v>
      </c>
      <c r="V72" s="533" t="e">
        <f t="shared" si="42"/>
        <v>#REF!</v>
      </c>
      <c r="W72" s="533" t="e">
        <f t="shared" si="43"/>
        <v>#REF!</v>
      </c>
      <c r="X72" s="533" t="e">
        <f t="shared" si="44"/>
        <v>#REF!</v>
      </c>
      <c r="Y72" s="534" t="e">
        <f t="shared" si="45"/>
        <v>#REF!</v>
      </c>
      <c r="AA72" s="537">
        <f t="shared" si="46"/>
        <v>0</v>
      </c>
      <c r="AB72" s="538" t="e">
        <f t="shared" si="46"/>
        <v>#REF!</v>
      </c>
      <c r="AC72" s="538" t="e">
        <f t="shared" si="46"/>
        <v>#REF!</v>
      </c>
      <c r="AD72" s="538" t="e">
        <f t="shared" si="46"/>
        <v>#REF!</v>
      </c>
      <c r="AE72" s="539" t="e">
        <f t="shared" si="47"/>
        <v>#REF!</v>
      </c>
      <c r="AH72" s="659"/>
    </row>
    <row r="73" spans="2:34" s="447" customFormat="1" ht="14.25" customHeight="1">
      <c r="B73" s="572"/>
      <c r="C73" s="595"/>
      <c r="D73" s="596"/>
      <c r="E73" s="595"/>
      <c r="F73" s="596">
        <f t="shared" ref="F73" si="50">E73*D73</f>
        <v>0</v>
      </c>
      <c r="G73" s="530" t="e">
        <f>((D73*E73*$F$7)+(#REF!*D73*#REF!)+(D73*#REF!*#REF!^2)+(D73*#REF!*#REF!^3))=#REF!</f>
        <v>#REF!</v>
      </c>
      <c r="H73" s="493"/>
      <c r="K73" s="532">
        <f>F73</f>
        <v>0</v>
      </c>
      <c r="L73" s="522" t="s">
        <v>76</v>
      </c>
      <c r="M73" s="533" t="e">
        <f>#REF!</f>
        <v>#REF!</v>
      </c>
      <c r="N73" s="522" t="s">
        <v>77</v>
      </c>
      <c r="O73" s="533" t="e">
        <f>#REF!</f>
        <v>#REF!</v>
      </c>
      <c r="P73" s="522" t="s">
        <v>78</v>
      </c>
      <c r="Q73" s="533" t="e">
        <f>#REF!</f>
        <v>#REF!</v>
      </c>
      <c r="R73" s="522" t="s">
        <v>79</v>
      </c>
      <c r="S73" s="534" t="e">
        <f>SUM(K73:Q73)</f>
        <v>#REF!</v>
      </c>
      <c r="T73" s="535"/>
      <c r="U73" s="536">
        <f>K73/$W$6</f>
        <v>0</v>
      </c>
      <c r="V73" s="533" t="e">
        <f>M73/$W$6</f>
        <v>#REF!</v>
      </c>
      <c r="W73" s="533" t="e">
        <f>O73/$W$6</f>
        <v>#REF!</v>
      </c>
      <c r="X73" s="533" t="e">
        <f>Q73/$W$6</f>
        <v>#REF!</v>
      </c>
      <c r="Y73" s="534" t="e">
        <f>SUM(U73:X73)</f>
        <v>#REF!</v>
      </c>
      <c r="AA73" s="537">
        <f t="shared" si="46"/>
        <v>0</v>
      </c>
      <c r="AB73" s="538" t="e">
        <f t="shared" si="46"/>
        <v>#REF!</v>
      </c>
      <c r="AC73" s="538" t="e">
        <f t="shared" si="46"/>
        <v>#REF!</v>
      </c>
      <c r="AD73" s="538" t="e">
        <f t="shared" si="46"/>
        <v>#REF!</v>
      </c>
      <c r="AE73" s="539" t="e">
        <f>SUM(AA73:AD73)</f>
        <v>#REF!</v>
      </c>
    </row>
    <row r="74" spans="2:34" s="447" customFormat="1" ht="78" customHeight="1">
      <c r="B74" s="661" t="s">
        <v>503</v>
      </c>
      <c r="C74" s="647"/>
      <c r="D74" s="647">
        <f t="shared" ref="D74:F74" si="51">SUBTOTAL(9,D75:D80)</f>
        <v>0</v>
      </c>
      <c r="E74" s="647">
        <f t="shared" si="51"/>
        <v>0</v>
      </c>
      <c r="F74" s="647">
        <f t="shared" si="51"/>
        <v>0</v>
      </c>
      <c r="G74" s="530"/>
      <c r="H74" s="493"/>
      <c r="K74" s="532"/>
      <c r="L74" s="522"/>
      <c r="M74" s="533"/>
      <c r="N74" s="522"/>
      <c r="O74" s="533"/>
      <c r="P74" s="522"/>
      <c r="Q74" s="533"/>
      <c r="R74" s="522"/>
      <c r="S74" s="534"/>
      <c r="T74" s="535"/>
      <c r="U74" s="536"/>
      <c r="V74" s="533"/>
      <c r="W74" s="533"/>
      <c r="X74" s="533"/>
      <c r="Y74" s="534"/>
      <c r="AA74" s="537"/>
      <c r="AB74" s="538"/>
      <c r="AC74" s="538"/>
      <c r="AD74" s="538"/>
      <c r="AE74" s="539"/>
      <c r="AH74" s="659"/>
    </row>
    <row r="75" spans="2:34" s="447" customFormat="1" ht="20">
      <c r="B75" s="650"/>
      <c r="C75" s="595" t="s">
        <v>423</v>
      </c>
      <c r="D75" s="596"/>
      <c r="E75" s="595"/>
      <c r="F75" s="596">
        <f>E75*D75</f>
        <v>0</v>
      </c>
      <c r="G75" s="530" t="e">
        <f>((D75*E75*$F$7)+(#REF!*D75*#REF!)+(D75*#REF!*#REF!^2)+(D75*#REF!*#REF!^3))=#REF!</f>
        <v>#REF!</v>
      </c>
      <c r="H75" s="493"/>
      <c r="K75" s="532">
        <f>F75</f>
        <v>0</v>
      </c>
      <c r="L75" s="522" t="s">
        <v>76</v>
      </c>
      <c r="M75" s="533" t="e">
        <f>#REF!</f>
        <v>#REF!</v>
      </c>
      <c r="N75" s="522" t="s">
        <v>77</v>
      </c>
      <c r="O75" s="533" t="e">
        <f>#REF!</f>
        <v>#REF!</v>
      </c>
      <c r="P75" s="522" t="s">
        <v>78</v>
      </c>
      <c r="Q75" s="533" t="e">
        <f>#REF!</f>
        <v>#REF!</v>
      </c>
      <c r="R75" s="522" t="s">
        <v>79</v>
      </c>
      <c r="S75" s="534" t="e">
        <f t="shared" ref="S75:S82" si="52">SUM(K75:Q75)</f>
        <v>#REF!</v>
      </c>
      <c r="T75" s="535"/>
      <c r="U75" s="536">
        <f t="shared" ref="U75:U82" si="53">K75/$W$6</f>
        <v>0</v>
      </c>
      <c r="V75" s="533" t="e">
        <f t="shared" ref="V75:V82" si="54">M75/$W$6</f>
        <v>#REF!</v>
      </c>
      <c r="W75" s="533" t="e">
        <f t="shared" ref="W75:W82" si="55">O75/$W$6</f>
        <v>#REF!</v>
      </c>
      <c r="X75" s="533" t="e">
        <f t="shared" ref="X75:X82" si="56">Q75/$W$6</f>
        <v>#REF!</v>
      </c>
      <c r="Y75" s="534" t="e">
        <f t="shared" ref="Y75:Y82" si="57">SUM(U75:X75)</f>
        <v>#REF!</v>
      </c>
      <c r="AA75" s="537">
        <f t="shared" ref="AA75:AD76" si="58">U75*$AC$6</f>
        <v>0</v>
      </c>
      <c r="AB75" s="538" t="e">
        <f t="shared" si="58"/>
        <v>#REF!</v>
      </c>
      <c r="AC75" s="538" t="e">
        <f t="shared" si="58"/>
        <v>#REF!</v>
      </c>
      <c r="AD75" s="538" t="e">
        <f t="shared" si="58"/>
        <v>#REF!</v>
      </c>
      <c r="AE75" s="539" t="e">
        <f t="shared" ref="AE75:AE82" si="59">SUM(AA75:AD75)</f>
        <v>#REF!</v>
      </c>
      <c r="AH75" s="653"/>
    </row>
    <row r="76" spans="2:34" s="447" customFormat="1" ht="28" customHeight="1">
      <c r="B76" s="650"/>
      <c r="C76" s="595" t="s">
        <v>433</v>
      </c>
      <c r="D76" s="596"/>
      <c r="E76" s="595"/>
      <c r="F76" s="596">
        <f t="shared" ref="F76:F86" si="60">E76*D76</f>
        <v>0</v>
      </c>
      <c r="G76" s="530" t="e">
        <f>((D76*E76*$F$7)+(#REF!*D76*#REF!)+(D76*#REF!*#REF!^2)+(D76*#REF!*#REF!^3))=#REF!</f>
        <v>#REF!</v>
      </c>
      <c r="H76" s="493"/>
      <c r="K76" s="532">
        <f>F76</f>
        <v>0</v>
      </c>
      <c r="L76" s="522" t="s">
        <v>76</v>
      </c>
      <c r="M76" s="533" t="e">
        <f>#REF!</f>
        <v>#REF!</v>
      </c>
      <c r="N76" s="522" t="s">
        <v>77</v>
      </c>
      <c r="O76" s="533" t="e">
        <f>#REF!</f>
        <v>#REF!</v>
      </c>
      <c r="P76" s="522" t="s">
        <v>78</v>
      </c>
      <c r="Q76" s="533" t="e">
        <f>#REF!</f>
        <v>#REF!</v>
      </c>
      <c r="R76" s="522" t="s">
        <v>79</v>
      </c>
      <c r="S76" s="534" t="e">
        <f t="shared" si="52"/>
        <v>#REF!</v>
      </c>
      <c r="T76" s="535"/>
      <c r="U76" s="536">
        <f t="shared" si="53"/>
        <v>0</v>
      </c>
      <c r="V76" s="533" t="e">
        <f t="shared" si="54"/>
        <v>#REF!</v>
      </c>
      <c r="W76" s="533" t="e">
        <f t="shared" si="55"/>
        <v>#REF!</v>
      </c>
      <c r="X76" s="533" t="e">
        <f t="shared" si="56"/>
        <v>#REF!</v>
      </c>
      <c r="Y76" s="534" t="e">
        <f t="shared" si="57"/>
        <v>#REF!</v>
      </c>
      <c r="AA76" s="537">
        <f t="shared" si="58"/>
        <v>0</v>
      </c>
      <c r="AB76" s="538" t="e">
        <f t="shared" si="58"/>
        <v>#REF!</v>
      </c>
      <c r="AC76" s="538" t="e">
        <f t="shared" si="58"/>
        <v>#REF!</v>
      </c>
      <c r="AD76" s="538" t="e">
        <f t="shared" si="58"/>
        <v>#REF!</v>
      </c>
      <c r="AE76" s="539" t="e">
        <f t="shared" si="59"/>
        <v>#REF!</v>
      </c>
    </row>
    <row r="77" spans="2:34" s="447" customFormat="1" ht="29.15" customHeight="1">
      <c r="B77" s="650"/>
      <c r="C77" s="595" t="s">
        <v>423</v>
      </c>
      <c r="D77" s="596"/>
      <c r="E77" s="595"/>
      <c r="F77" s="596">
        <f t="shared" si="60"/>
        <v>0</v>
      </c>
      <c r="G77" s="530" t="e">
        <f>((D77*E77*$F$7)+(#REF!*D77*#REF!)+(D77*#REF!*#REF!^2)+(D77*#REF!*#REF!^3))=#REF!</f>
        <v>#REF!</v>
      </c>
      <c r="H77" s="493"/>
      <c r="K77" s="532"/>
      <c r="L77" s="522"/>
      <c r="M77" s="533"/>
      <c r="N77" s="522"/>
      <c r="O77" s="533"/>
      <c r="P77" s="522"/>
      <c r="Q77" s="533"/>
      <c r="R77" s="522"/>
      <c r="S77" s="534"/>
      <c r="T77" s="535"/>
      <c r="U77" s="536"/>
      <c r="V77" s="533"/>
      <c r="W77" s="533"/>
      <c r="X77" s="533"/>
      <c r="Y77" s="534"/>
      <c r="AA77" s="537"/>
      <c r="AB77" s="538"/>
      <c r="AC77" s="538"/>
      <c r="AD77" s="538"/>
      <c r="AE77" s="539"/>
    </row>
    <row r="78" spans="2:34" s="447" customFormat="1" ht="28.5" customHeight="1">
      <c r="B78" s="650"/>
      <c r="C78" s="595" t="s">
        <v>433</v>
      </c>
      <c r="D78" s="596"/>
      <c r="E78" s="595"/>
      <c r="F78" s="596">
        <f t="shared" si="60"/>
        <v>0</v>
      </c>
      <c r="G78" s="530" t="e">
        <f>((D78*E78*$F$7)+(#REF!*D78*#REF!)+(D78*#REF!*#REF!^2)+(D78*#REF!*#REF!^3))=#REF!</f>
        <v>#REF!</v>
      </c>
      <c r="H78" s="493"/>
      <c r="K78" s="532"/>
      <c r="L78" s="522"/>
      <c r="M78" s="533"/>
      <c r="N78" s="522"/>
      <c r="O78" s="533"/>
      <c r="P78" s="522"/>
      <c r="Q78" s="533"/>
      <c r="R78" s="522"/>
      <c r="S78" s="534"/>
      <c r="T78" s="535"/>
      <c r="U78" s="536"/>
      <c r="V78" s="533"/>
      <c r="W78" s="533"/>
      <c r="X78" s="533"/>
      <c r="Y78" s="534"/>
      <c r="AA78" s="537"/>
      <c r="AB78" s="538"/>
      <c r="AC78" s="538"/>
      <c r="AD78" s="538"/>
      <c r="AE78" s="539"/>
    </row>
    <row r="79" spans="2:34" s="447" customFormat="1" ht="45" customHeight="1">
      <c r="B79" s="662"/>
      <c r="C79" s="595" t="s">
        <v>424</v>
      </c>
      <c r="D79" s="596"/>
      <c r="E79" s="595"/>
      <c r="F79" s="596">
        <f>E79*D79*50%</f>
        <v>0</v>
      </c>
      <c r="G79" s="530" t="e">
        <f>((D79*E79*$F$7)+(#REF!*D79*#REF!)+(D79*#REF!*#REF!^2)+(D79*#REF!*#REF!^3))=#REF!</f>
        <v>#REF!</v>
      </c>
      <c r="H79" s="660"/>
      <c r="K79" s="532"/>
      <c r="L79" s="522"/>
      <c r="M79" s="533"/>
      <c r="N79" s="522"/>
      <c r="O79" s="533"/>
      <c r="P79" s="522"/>
      <c r="Q79" s="533"/>
      <c r="R79" s="522"/>
      <c r="S79" s="534"/>
      <c r="T79" s="535"/>
      <c r="U79" s="536"/>
      <c r="V79" s="533"/>
      <c r="W79" s="533"/>
      <c r="X79" s="533"/>
      <c r="Y79" s="534"/>
      <c r="AA79" s="537"/>
      <c r="AB79" s="538"/>
      <c r="AC79" s="538"/>
      <c r="AD79" s="538"/>
      <c r="AE79" s="539"/>
      <c r="AH79" s="653"/>
    </row>
    <row r="80" spans="2:34" s="447" customFormat="1" ht="20">
      <c r="B80" s="663"/>
      <c r="C80" s="595"/>
      <c r="D80" s="596"/>
      <c r="E80" s="595"/>
      <c r="F80" s="596">
        <f t="shared" si="60"/>
        <v>0</v>
      </c>
      <c r="G80" s="664" t="e">
        <f>((D80*E80*$F$7)+(#REF!*D80*#REF!)+(D80*#REF!*#REF!^2)+(D80*#REF!*#REF!^3))=#REF!</f>
        <v>#REF!</v>
      </c>
      <c r="H80" s="665"/>
      <c r="K80" s="532"/>
      <c r="L80" s="522"/>
      <c r="M80" s="533"/>
      <c r="N80" s="522"/>
      <c r="O80" s="533"/>
      <c r="P80" s="522"/>
      <c r="Q80" s="533"/>
      <c r="R80" s="522"/>
      <c r="S80" s="534"/>
      <c r="T80" s="535"/>
      <c r="U80" s="536"/>
      <c r="V80" s="533"/>
      <c r="W80" s="533"/>
      <c r="X80" s="533"/>
      <c r="Y80" s="534"/>
      <c r="AA80" s="537"/>
      <c r="AB80" s="538"/>
      <c r="AC80" s="538"/>
      <c r="AD80" s="538"/>
      <c r="AE80" s="539"/>
      <c r="AH80" s="653"/>
    </row>
    <row r="81" spans="2:34" s="447" customFormat="1" ht="57" customHeight="1">
      <c r="B81" s="666" t="s">
        <v>551</v>
      </c>
      <c r="C81" s="647"/>
      <c r="D81" s="647">
        <f>SUBTOTAL(9,D82:D87)</f>
        <v>0</v>
      </c>
      <c r="E81" s="647">
        <f t="shared" ref="E81:F81" si="61">SUBTOTAL(9,E82:E87)</f>
        <v>0</v>
      </c>
      <c r="F81" s="647">
        <f t="shared" si="61"/>
        <v>0</v>
      </c>
      <c r="G81" s="667"/>
      <c r="H81" s="668"/>
      <c r="K81" s="532"/>
      <c r="L81" s="522"/>
      <c r="M81" s="533"/>
      <c r="N81" s="522"/>
      <c r="O81" s="533"/>
      <c r="P81" s="522"/>
      <c r="Q81" s="533"/>
      <c r="R81" s="522"/>
      <c r="S81" s="534"/>
      <c r="T81" s="535"/>
      <c r="U81" s="536"/>
      <c r="V81" s="533"/>
      <c r="W81" s="533"/>
      <c r="X81" s="533"/>
      <c r="Y81" s="534"/>
      <c r="AA81" s="537"/>
      <c r="AB81" s="538"/>
      <c r="AC81" s="538"/>
      <c r="AD81" s="538"/>
      <c r="AE81" s="539"/>
    </row>
    <row r="82" spans="2:34" s="447" customFormat="1" ht="20">
      <c r="B82" s="650"/>
      <c r="C82" s="595" t="s">
        <v>434</v>
      </c>
      <c r="D82" s="596"/>
      <c r="E82" s="595"/>
      <c r="F82" s="596">
        <f t="shared" si="60"/>
        <v>0</v>
      </c>
      <c r="G82" s="596" t="e">
        <f>#REF!+#REF!+#REF!+#REF!</f>
        <v>#REF!</v>
      </c>
      <c r="H82" s="665"/>
      <c r="K82" s="532">
        <f>F82</f>
        <v>0</v>
      </c>
      <c r="L82" s="522" t="s">
        <v>76</v>
      </c>
      <c r="M82" s="533" t="e">
        <f>#REF!</f>
        <v>#REF!</v>
      </c>
      <c r="N82" s="522" t="s">
        <v>77</v>
      </c>
      <c r="O82" s="533" t="e">
        <f>#REF!</f>
        <v>#REF!</v>
      </c>
      <c r="P82" s="522" t="s">
        <v>78</v>
      </c>
      <c r="Q82" s="533" t="e">
        <f>#REF!</f>
        <v>#REF!</v>
      </c>
      <c r="R82" s="522" t="s">
        <v>79</v>
      </c>
      <c r="S82" s="534" t="e">
        <f t="shared" si="52"/>
        <v>#REF!</v>
      </c>
      <c r="T82" s="535"/>
      <c r="U82" s="536">
        <f t="shared" si="53"/>
        <v>0</v>
      </c>
      <c r="V82" s="533" t="e">
        <f t="shared" si="54"/>
        <v>#REF!</v>
      </c>
      <c r="W82" s="533" t="e">
        <f t="shared" si="55"/>
        <v>#REF!</v>
      </c>
      <c r="X82" s="533" t="e">
        <f t="shared" si="56"/>
        <v>#REF!</v>
      </c>
      <c r="Y82" s="534" t="e">
        <f t="shared" si="57"/>
        <v>#REF!</v>
      </c>
      <c r="AA82" s="537">
        <f t="shared" ref="AA82:AD82" si="62">U82*$AC$6</f>
        <v>0</v>
      </c>
      <c r="AB82" s="538" t="e">
        <f t="shared" si="62"/>
        <v>#REF!</v>
      </c>
      <c r="AC82" s="538" t="e">
        <f t="shared" si="62"/>
        <v>#REF!</v>
      </c>
      <c r="AD82" s="538" t="e">
        <f t="shared" si="62"/>
        <v>#REF!</v>
      </c>
      <c r="AE82" s="539" t="e">
        <f t="shared" si="59"/>
        <v>#REF!</v>
      </c>
      <c r="AH82" s="535"/>
    </row>
    <row r="83" spans="2:34" s="447" customFormat="1" ht="20">
      <c r="B83" s="650"/>
      <c r="C83" s="669" t="s">
        <v>423</v>
      </c>
      <c r="D83" s="596"/>
      <c r="E83" s="669"/>
      <c r="F83" s="596">
        <f t="shared" si="60"/>
        <v>0</v>
      </c>
      <c r="G83" s="530"/>
      <c r="H83" s="670"/>
      <c r="K83" s="532"/>
      <c r="L83" s="522"/>
      <c r="M83" s="533"/>
      <c r="N83" s="522"/>
      <c r="O83" s="533"/>
      <c r="P83" s="522"/>
      <c r="Q83" s="533"/>
      <c r="R83" s="522"/>
      <c r="S83" s="534"/>
      <c r="T83" s="535"/>
      <c r="U83" s="536"/>
      <c r="V83" s="533"/>
      <c r="W83" s="533"/>
      <c r="X83" s="533"/>
      <c r="Y83" s="534"/>
      <c r="AA83" s="537"/>
      <c r="AB83" s="538"/>
      <c r="AC83" s="538"/>
      <c r="AD83" s="538"/>
      <c r="AE83" s="539"/>
      <c r="AH83" s="535"/>
    </row>
    <row r="84" spans="2:34" s="447" customFormat="1" ht="20">
      <c r="B84" s="650"/>
      <c r="C84" s="669" t="s">
        <v>435</v>
      </c>
      <c r="D84" s="596"/>
      <c r="E84" s="669"/>
      <c r="F84" s="596">
        <f t="shared" si="60"/>
        <v>0</v>
      </c>
      <c r="G84" s="530"/>
      <c r="H84" s="671"/>
      <c r="K84" s="532"/>
      <c r="L84" s="522"/>
      <c r="M84" s="533"/>
      <c r="N84" s="522"/>
      <c r="O84" s="533"/>
      <c r="P84" s="522"/>
      <c r="Q84" s="533"/>
      <c r="R84" s="522"/>
      <c r="S84" s="534"/>
      <c r="T84" s="535"/>
      <c r="U84" s="536"/>
      <c r="V84" s="533"/>
      <c r="W84" s="533"/>
      <c r="X84" s="533"/>
      <c r="Y84" s="534"/>
      <c r="AA84" s="537"/>
      <c r="AB84" s="538"/>
      <c r="AC84" s="538"/>
      <c r="AD84" s="538"/>
      <c r="AE84" s="539"/>
      <c r="AH84" s="535"/>
    </row>
    <row r="85" spans="2:34" s="447" customFormat="1" ht="25.5" customHeight="1">
      <c r="B85" s="650"/>
      <c r="C85" s="669" t="s">
        <v>433</v>
      </c>
      <c r="D85" s="596"/>
      <c r="E85" s="669"/>
      <c r="F85" s="596">
        <f t="shared" si="60"/>
        <v>0</v>
      </c>
      <c r="G85" s="530"/>
      <c r="H85" s="672"/>
      <c r="K85" s="532"/>
      <c r="L85" s="522"/>
      <c r="M85" s="533"/>
      <c r="N85" s="522"/>
      <c r="O85" s="533"/>
      <c r="P85" s="522"/>
      <c r="Q85" s="533"/>
      <c r="R85" s="522"/>
      <c r="S85" s="534"/>
      <c r="T85" s="535"/>
      <c r="U85" s="536"/>
      <c r="V85" s="533"/>
      <c r="W85" s="533"/>
      <c r="X85" s="533"/>
      <c r="Y85" s="534"/>
      <c r="AA85" s="537"/>
      <c r="AB85" s="538"/>
      <c r="AC85" s="538"/>
      <c r="AD85" s="538"/>
      <c r="AE85" s="539"/>
      <c r="AH85" s="535"/>
    </row>
    <row r="86" spans="2:34" s="447" customFormat="1" ht="28" customHeight="1">
      <c r="B86" s="650"/>
      <c r="C86" s="669" t="s">
        <v>423</v>
      </c>
      <c r="D86" s="596"/>
      <c r="E86" s="669"/>
      <c r="F86" s="673">
        <f t="shared" si="60"/>
        <v>0</v>
      </c>
      <c r="G86" s="530" t="e">
        <f>((D86*E86*$F$7)+(#REF!*D86*#REF!)+(D86*#REF!*#REF!^2)+(D86*#REF!*#REF!^3))=#REF!</f>
        <v>#REF!</v>
      </c>
      <c r="H86" s="493"/>
      <c r="K86" s="532"/>
      <c r="L86" s="522"/>
      <c r="M86" s="533"/>
      <c r="N86" s="522"/>
      <c r="O86" s="533"/>
      <c r="P86" s="522"/>
      <c r="Q86" s="533"/>
      <c r="R86" s="522"/>
      <c r="S86" s="534"/>
      <c r="T86" s="535"/>
      <c r="U86" s="536"/>
      <c r="V86" s="533"/>
      <c r="W86" s="533"/>
      <c r="X86" s="533"/>
      <c r="Y86" s="534"/>
      <c r="AA86" s="537"/>
      <c r="AB86" s="538"/>
      <c r="AC86" s="538"/>
      <c r="AD86" s="538"/>
      <c r="AE86" s="539"/>
      <c r="AH86" s="535"/>
    </row>
    <row r="87" spans="2:34" s="447" customFormat="1" ht="20">
      <c r="B87" s="650"/>
      <c r="C87" s="595" t="s">
        <v>424</v>
      </c>
      <c r="D87" s="596"/>
      <c r="E87" s="595"/>
      <c r="F87" s="673">
        <f>E87*D87*50%</f>
        <v>0</v>
      </c>
      <c r="G87" s="530" t="e">
        <f>((D87*E87*$F$7)+(#REF!*D87*#REF!)+(D87*#REF!*#REF!^2)+(D87*#REF!*#REF!^3))=#REF!</f>
        <v>#REF!</v>
      </c>
      <c r="H87" s="660"/>
      <c r="K87" s="532"/>
      <c r="L87" s="522"/>
      <c r="M87" s="533"/>
      <c r="N87" s="522"/>
      <c r="O87" s="533"/>
      <c r="P87" s="522"/>
      <c r="Q87" s="533"/>
      <c r="R87" s="522"/>
      <c r="S87" s="534"/>
      <c r="T87" s="535"/>
      <c r="U87" s="536"/>
      <c r="V87" s="533"/>
      <c r="W87" s="533"/>
      <c r="X87" s="533"/>
      <c r="Y87" s="534"/>
      <c r="AA87" s="537"/>
      <c r="AB87" s="538"/>
      <c r="AC87" s="538"/>
      <c r="AD87" s="538"/>
      <c r="AE87" s="539"/>
      <c r="AH87" s="659"/>
    </row>
    <row r="88" spans="2:34" s="447" customFormat="1" ht="51" customHeight="1">
      <c r="B88" s="674" t="s">
        <v>552</v>
      </c>
      <c r="C88" s="647"/>
      <c r="D88" s="647">
        <f t="shared" ref="D88:E88" si="63">SUBTOTAL(9,D89:D104)</f>
        <v>0</v>
      </c>
      <c r="E88" s="647">
        <f t="shared" si="63"/>
        <v>0</v>
      </c>
      <c r="F88" s="647">
        <f>SUBTOTAL(9,F89:F104)</f>
        <v>0</v>
      </c>
      <c r="G88" s="577">
        <f t="shared" ref="G88" si="64">SUM(G99:G100)</f>
        <v>0</v>
      </c>
      <c r="H88" s="631"/>
      <c r="K88" s="532"/>
      <c r="L88" s="522"/>
      <c r="M88" s="533"/>
      <c r="N88" s="522"/>
      <c r="O88" s="533"/>
      <c r="P88" s="522"/>
      <c r="Q88" s="533"/>
      <c r="R88" s="522"/>
      <c r="S88" s="534"/>
      <c r="T88" s="535"/>
      <c r="U88" s="536"/>
      <c r="V88" s="533"/>
      <c r="W88" s="533"/>
      <c r="X88" s="533"/>
      <c r="Y88" s="534"/>
      <c r="AA88" s="537"/>
      <c r="AB88" s="538"/>
      <c r="AC88" s="538"/>
      <c r="AD88" s="538"/>
      <c r="AE88" s="539"/>
      <c r="AH88" s="659"/>
    </row>
    <row r="89" spans="2:34" s="447" customFormat="1" ht="32.15" customHeight="1">
      <c r="B89" s="650" t="s">
        <v>436</v>
      </c>
      <c r="C89" s="669" t="s">
        <v>437</v>
      </c>
      <c r="D89" s="596"/>
      <c r="E89" s="596">
        <v>0</v>
      </c>
      <c r="F89" s="596">
        <f t="shared" ref="F89:F101" si="65">(E89*D89)</f>
        <v>0</v>
      </c>
      <c r="G89" s="675"/>
      <c r="H89" s="493"/>
      <c r="K89" s="616"/>
      <c r="L89" s="617"/>
      <c r="M89" s="618"/>
      <c r="N89" s="617"/>
      <c r="O89" s="618"/>
      <c r="P89" s="617"/>
      <c r="Q89" s="618"/>
      <c r="R89" s="617"/>
      <c r="S89" s="619"/>
      <c r="T89" s="535"/>
      <c r="U89" s="620"/>
      <c r="V89" s="618"/>
      <c r="W89" s="618"/>
      <c r="X89" s="618"/>
      <c r="Y89" s="619"/>
      <c r="AA89" s="621"/>
      <c r="AB89" s="622"/>
      <c r="AC89" s="622"/>
      <c r="AD89" s="622"/>
      <c r="AE89" s="623"/>
    </row>
    <row r="90" spans="2:34" s="447" customFormat="1" ht="39.65" customHeight="1">
      <c r="B90" s="650" t="s">
        <v>438</v>
      </c>
      <c r="C90" s="669" t="s">
        <v>437</v>
      </c>
      <c r="D90" s="596"/>
      <c r="E90" s="596"/>
      <c r="F90" s="596">
        <f t="shared" si="65"/>
        <v>0</v>
      </c>
      <c r="G90" s="675"/>
      <c r="H90" s="493"/>
      <c r="K90" s="616"/>
      <c r="L90" s="617"/>
      <c r="M90" s="618"/>
      <c r="N90" s="617"/>
      <c r="O90" s="618"/>
      <c r="P90" s="617"/>
      <c r="Q90" s="618"/>
      <c r="R90" s="617"/>
      <c r="S90" s="619"/>
      <c r="T90" s="535"/>
      <c r="U90" s="620"/>
      <c r="V90" s="618"/>
      <c r="W90" s="618"/>
      <c r="X90" s="618"/>
      <c r="Y90" s="619"/>
      <c r="AA90" s="621"/>
      <c r="AB90" s="622"/>
      <c r="AC90" s="622"/>
      <c r="AD90" s="622"/>
      <c r="AE90" s="623"/>
    </row>
    <row r="91" spans="2:34" s="447" customFormat="1" ht="20">
      <c r="B91" s="650" t="s">
        <v>490</v>
      </c>
      <c r="C91" s="673" t="s">
        <v>439</v>
      </c>
      <c r="D91" s="596"/>
      <c r="E91" s="596"/>
      <c r="F91" s="596">
        <f>(E91*D91)</f>
        <v>0</v>
      </c>
      <c r="G91" s="675"/>
      <c r="H91" s="493"/>
      <c r="K91" s="616"/>
      <c r="L91" s="617"/>
      <c r="M91" s="618"/>
      <c r="N91" s="617"/>
      <c r="O91" s="618"/>
      <c r="P91" s="617"/>
      <c r="Q91" s="618"/>
      <c r="R91" s="617"/>
      <c r="S91" s="619"/>
      <c r="T91" s="535"/>
      <c r="U91" s="620"/>
      <c r="V91" s="618"/>
      <c r="W91" s="618"/>
      <c r="X91" s="618"/>
      <c r="Y91" s="619"/>
      <c r="AA91" s="621"/>
      <c r="AB91" s="622"/>
      <c r="AC91" s="622"/>
      <c r="AD91" s="622"/>
      <c r="AE91" s="623"/>
    </row>
    <row r="92" spans="2:34" s="447" customFormat="1" ht="16.5" customHeight="1">
      <c r="B92" s="650" t="s">
        <v>440</v>
      </c>
      <c r="C92" s="673" t="s">
        <v>439</v>
      </c>
      <c r="D92" s="596"/>
      <c r="E92" s="596"/>
      <c r="F92" s="596">
        <f t="shared" si="65"/>
        <v>0</v>
      </c>
      <c r="G92" s="675"/>
      <c r="H92" s="493"/>
      <c r="K92" s="616"/>
      <c r="L92" s="617"/>
      <c r="M92" s="618"/>
      <c r="N92" s="617"/>
      <c r="O92" s="618"/>
      <c r="P92" s="617"/>
      <c r="Q92" s="618"/>
      <c r="R92" s="617"/>
      <c r="S92" s="619"/>
      <c r="T92" s="535"/>
      <c r="U92" s="620"/>
      <c r="V92" s="618"/>
      <c r="W92" s="618"/>
      <c r="X92" s="618"/>
      <c r="Y92" s="619"/>
      <c r="AA92" s="621"/>
      <c r="AB92" s="622"/>
      <c r="AC92" s="622"/>
      <c r="AD92" s="622"/>
      <c r="AE92" s="623"/>
    </row>
    <row r="93" spans="2:34" s="447" customFormat="1" ht="27" customHeight="1">
      <c r="B93" s="650" t="s">
        <v>487</v>
      </c>
      <c r="C93" s="673" t="s">
        <v>439</v>
      </c>
      <c r="D93" s="596"/>
      <c r="E93" s="596"/>
      <c r="F93" s="596">
        <f t="shared" si="65"/>
        <v>0</v>
      </c>
      <c r="G93" s="675"/>
      <c r="H93" s="493"/>
      <c r="K93" s="616"/>
      <c r="L93" s="617"/>
      <c r="M93" s="618"/>
      <c r="N93" s="617"/>
      <c r="O93" s="618"/>
      <c r="P93" s="617"/>
      <c r="Q93" s="618"/>
      <c r="R93" s="617"/>
      <c r="S93" s="619"/>
      <c r="T93" s="535"/>
      <c r="U93" s="620"/>
      <c r="V93" s="618"/>
      <c r="W93" s="618"/>
      <c r="X93" s="618"/>
      <c r="Y93" s="619"/>
      <c r="AA93" s="621"/>
      <c r="AB93" s="622"/>
      <c r="AC93" s="622"/>
      <c r="AD93" s="622"/>
      <c r="AE93" s="623"/>
    </row>
    <row r="94" spans="2:34" s="447" customFormat="1" ht="16.5" customHeight="1">
      <c r="B94" s="650" t="s">
        <v>486</v>
      </c>
      <c r="C94" s="673" t="s">
        <v>439</v>
      </c>
      <c r="D94" s="596"/>
      <c r="E94" s="596"/>
      <c r="F94" s="596">
        <f t="shared" si="65"/>
        <v>0</v>
      </c>
      <c r="G94" s="675"/>
      <c r="H94" s="493"/>
      <c r="K94" s="616"/>
      <c r="L94" s="617"/>
      <c r="M94" s="618"/>
      <c r="N94" s="617"/>
      <c r="O94" s="618"/>
      <c r="P94" s="617"/>
      <c r="Q94" s="618"/>
      <c r="R94" s="617"/>
      <c r="S94" s="619"/>
      <c r="T94" s="535"/>
      <c r="U94" s="620"/>
      <c r="V94" s="618"/>
      <c r="W94" s="618"/>
      <c r="X94" s="618"/>
      <c r="Y94" s="619"/>
      <c r="AA94" s="621"/>
      <c r="AB94" s="622"/>
      <c r="AC94" s="622"/>
      <c r="AD94" s="622"/>
      <c r="AE94" s="623"/>
    </row>
    <row r="95" spans="2:34" s="447" customFormat="1" ht="29.5">
      <c r="B95" s="650" t="s">
        <v>488</v>
      </c>
      <c r="C95" s="673" t="s">
        <v>439</v>
      </c>
      <c r="D95" s="596"/>
      <c r="E95" s="596"/>
      <c r="F95" s="596">
        <f t="shared" si="65"/>
        <v>0</v>
      </c>
      <c r="G95" s="675"/>
      <c r="H95" s="493"/>
      <c r="K95" s="616"/>
      <c r="L95" s="617"/>
      <c r="M95" s="618"/>
      <c r="N95" s="617"/>
      <c r="O95" s="618"/>
      <c r="P95" s="617"/>
      <c r="Q95" s="618"/>
      <c r="R95" s="617"/>
      <c r="S95" s="619"/>
      <c r="T95" s="535"/>
      <c r="U95" s="620"/>
      <c r="V95" s="618"/>
      <c r="W95" s="618"/>
      <c r="X95" s="618"/>
      <c r="Y95" s="619"/>
      <c r="AA95" s="621"/>
      <c r="AB95" s="622"/>
      <c r="AC95" s="622"/>
      <c r="AD95" s="622"/>
      <c r="AE95" s="623"/>
    </row>
    <row r="96" spans="2:34" s="447" customFormat="1" ht="16.5" customHeight="1">
      <c r="B96" s="650" t="s">
        <v>441</v>
      </c>
      <c r="C96" s="673" t="s">
        <v>439</v>
      </c>
      <c r="D96" s="596"/>
      <c r="E96" s="596"/>
      <c r="F96" s="596">
        <f t="shared" si="65"/>
        <v>0</v>
      </c>
      <c r="G96" s="675"/>
      <c r="H96" s="493"/>
      <c r="K96" s="616"/>
      <c r="L96" s="617"/>
      <c r="M96" s="618"/>
      <c r="N96" s="617"/>
      <c r="O96" s="618"/>
      <c r="P96" s="617"/>
      <c r="Q96" s="618"/>
      <c r="R96" s="617"/>
      <c r="S96" s="619"/>
      <c r="T96" s="535"/>
      <c r="U96" s="620"/>
      <c r="V96" s="618"/>
      <c r="W96" s="618"/>
      <c r="X96" s="618"/>
      <c r="Y96" s="619"/>
      <c r="AA96" s="621"/>
      <c r="AB96" s="622"/>
      <c r="AC96" s="622"/>
      <c r="AD96" s="622"/>
      <c r="AE96" s="623"/>
    </row>
    <row r="97" spans="1:34" s="447" customFormat="1" ht="33.65" customHeight="1">
      <c r="B97" s="650" t="s">
        <v>442</v>
      </c>
      <c r="C97" s="673" t="s">
        <v>439</v>
      </c>
      <c r="D97" s="596"/>
      <c r="E97" s="596"/>
      <c r="F97" s="596">
        <f t="shared" si="65"/>
        <v>0</v>
      </c>
      <c r="G97" s="675"/>
      <c r="H97" s="493"/>
      <c r="K97" s="616"/>
      <c r="L97" s="617"/>
      <c r="M97" s="618"/>
      <c r="N97" s="617"/>
      <c r="O97" s="618"/>
      <c r="P97" s="617"/>
      <c r="Q97" s="618"/>
      <c r="R97" s="617"/>
      <c r="S97" s="619"/>
      <c r="T97" s="535"/>
      <c r="U97" s="620"/>
      <c r="V97" s="618"/>
      <c r="W97" s="618"/>
      <c r="X97" s="618"/>
      <c r="Y97" s="619"/>
      <c r="AA97" s="621"/>
      <c r="AB97" s="622"/>
      <c r="AC97" s="622"/>
      <c r="AD97" s="622"/>
      <c r="AE97" s="623"/>
    </row>
    <row r="98" spans="1:34" s="447" customFormat="1" ht="20">
      <c r="B98" s="650" t="s">
        <v>489</v>
      </c>
      <c r="C98" s="673" t="s">
        <v>439</v>
      </c>
      <c r="D98" s="596"/>
      <c r="E98" s="596"/>
      <c r="F98" s="596">
        <f t="shared" si="65"/>
        <v>0</v>
      </c>
      <c r="G98" s="675"/>
      <c r="H98" s="493"/>
      <c r="K98" s="616"/>
      <c r="L98" s="617"/>
      <c r="M98" s="618"/>
      <c r="N98" s="617"/>
      <c r="O98" s="618"/>
      <c r="P98" s="617"/>
      <c r="Q98" s="618"/>
      <c r="R98" s="617"/>
      <c r="S98" s="619"/>
      <c r="T98" s="535"/>
      <c r="U98" s="620"/>
      <c r="V98" s="618"/>
      <c r="W98" s="618"/>
      <c r="X98" s="618"/>
      <c r="Y98" s="619"/>
      <c r="AA98" s="621"/>
      <c r="AB98" s="622"/>
      <c r="AC98" s="622"/>
      <c r="AD98" s="622"/>
      <c r="AE98" s="623"/>
    </row>
    <row r="99" spans="1:34" s="447" customFormat="1" ht="55.5" customHeight="1">
      <c r="B99" s="650" t="s">
        <v>468</v>
      </c>
      <c r="C99" s="595" t="s">
        <v>437</v>
      </c>
      <c r="D99" s="596"/>
      <c r="E99" s="595"/>
      <c r="F99" s="596">
        <f t="shared" si="65"/>
        <v>0</v>
      </c>
      <c r="G99" s="530"/>
      <c r="H99" s="660"/>
      <c r="K99" s="532"/>
      <c r="L99" s="522"/>
      <c r="M99" s="533"/>
      <c r="N99" s="522"/>
      <c r="O99" s="533"/>
      <c r="P99" s="522"/>
      <c r="Q99" s="533"/>
      <c r="R99" s="522"/>
      <c r="S99" s="534"/>
      <c r="T99" s="535"/>
      <c r="U99" s="536"/>
      <c r="V99" s="533"/>
      <c r="W99" s="533"/>
      <c r="X99" s="533"/>
      <c r="Y99" s="534"/>
      <c r="AA99" s="537"/>
      <c r="AB99" s="538"/>
      <c r="AC99" s="538"/>
      <c r="AD99" s="538"/>
      <c r="AE99" s="539"/>
      <c r="AH99" s="659"/>
    </row>
    <row r="100" spans="1:34" s="447" customFormat="1" ht="20">
      <c r="B100" s="650" t="s">
        <v>469</v>
      </c>
      <c r="C100" s="595" t="s">
        <v>443</v>
      </c>
      <c r="D100" s="596"/>
      <c r="E100" s="595"/>
      <c r="F100" s="596">
        <f t="shared" si="65"/>
        <v>0</v>
      </c>
      <c r="G100" s="530"/>
      <c r="H100" s="493"/>
      <c r="K100" s="532"/>
      <c r="L100" s="522"/>
      <c r="M100" s="533"/>
      <c r="N100" s="522"/>
      <c r="O100" s="533"/>
      <c r="P100" s="522"/>
      <c r="Q100" s="533"/>
      <c r="R100" s="522"/>
      <c r="S100" s="534"/>
      <c r="T100" s="535"/>
      <c r="U100" s="536"/>
      <c r="V100" s="533"/>
      <c r="W100" s="533"/>
      <c r="X100" s="533"/>
      <c r="Y100" s="534"/>
      <c r="AA100" s="537"/>
      <c r="AB100" s="538"/>
      <c r="AC100" s="538"/>
      <c r="AD100" s="538"/>
      <c r="AE100" s="539"/>
      <c r="AH100" s="659"/>
    </row>
    <row r="101" spans="1:34" s="447" customFormat="1" ht="32">
      <c r="B101" s="572" t="s">
        <v>444</v>
      </c>
      <c r="C101" s="595" t="s">
        <v>424</v>
      </c>
      <c r="D101" s="596"/>
      <c r="E101" s="595"/>
      <c r="F101" s="596">
        <f t="shared" si="65"/>
        <v>0</v>
      </c>
      <c r="G101" s="530"/>
      <c r="H101" s="493"/>
      <c r="K101" s="532"/>
      <c r="L101" s="522"/>
      <c r="M101" s="533"/>
      <c r="N101" s="522"/>
      <c r="O101" s="533"/>
      <c r="P101" s="522"/>
      <c r="Q101" s="533"/>
      <c r="R101" s="522"/>
      <c r="S101" s="534"/>
      <c r="T101" s="535"/>
      <c r="U101" s="536"/>
      <c r="V101" s="533"/>
      <c r="W101" s="533"/>
      <c r="X101" s="533"/>
      <c r="Y101" s="534"/>
      <c r="AA101" s="537"/>
      <c r="AB101" s="538"/>
      <c r="AC101" s="538"/>
      <c r="AD101" s="538"/>
      <c r="AE101" s="539"/>
      <c r="AH101" s="653"/>
    </row>
    <row r="102" spans="1:34" s="447" customFormat="1" ht="30.75" customHeight="1">
      <c r="B102" s="572" t="s">
        <v>527</v>
      </c>
      <c r="C102" s="595" t="s">
        <v>501</v>
      </c>
      <c r="D102" s="596"/>
      <c r="E102" s="595"/>
      <c r="F102" s="596">
        <f>(E102*D102)</f>
        <v>0</v>
      </c>
      <c r="G102" s="530"/>
      <c r="H102" s="493" t="s">
        <v>509</v>
      </c>
      <c r="K102" s="532"/>
      <c r="L102" s="522"/>
      <c r="M102" s="533"/>
      <c r="N102" s="522"/>
      <c r="O102" s="533"/>
      <c r="P102" s="522"/>
      <c r="Q102" s="533"/>
      <c r="R102" s="522"/>
      <c r="S102" s="534"/>
      <c r="T102" s="535"/>
      <c r="U102" s="536"/>
      <c r="V102" s="533"/>
      <c r="W102" s="533"/>
      <c r="X102" s="533"/>
      <c r="Y102" s="534"/>
      <c r="AA102" s="537"/>
      <c r="AB102" s="538"/>
      <c r="AC102" s="538"/>
      <c r="AD102" s="538"/>
      <c r="AE102" s="539"/>
      <c r="AH102" s="653"/>
    </row>
    <row r="103" spans="1:34" s="447" customFormat="1" ht="34.5" customHeight="1">
      <c r="B103" s="572" t="str">
        <f>'Activity Budget Example'!B45</f>
        <v>4.15. Fundamentals of Social Accountability Monitoring Training Training (PSAM) in Country Training for CSOs</v>
      </c>
      <c r="C103" s="595" t="s">
        <v>505</v>
      </c>
      <c r="D103" s="596"/>
      <c r="E103" s="595"/>
      <c r="F103" s="596">
        <f>(E103*D103)</f>
        <v>0</v>
      </c>
      <c r="G103" s="530"/>
      <c r="H103" s="493" t="s">
        <v>508</v>
      </c>
      <c r="K103" s="532"/>
      <c r="L103" s="522"/>
      <c r="M103" s="533"/>
      <c r="N103" s="522"/>
      <c r="O103" s="533"/>
      <c r="P103" s="522"/>
      <c r="Q103" s="533"/>
      <c r="R103" s="522"/>
      <c r="S103" s="534"/>
      <c r="T103" s="535"/>
      <c r="U103" s="536"/>
      <c r="V103" s="533"/>
      <c r="W103" s="533"/>
      <c r="X103" s="533"/>
      <c r="Y103" s="534"/>
      <c r="AA103" s="537"/>
      <c r="AB103" s="538"/>
      <c r="AC103" s="538"/>
      <c r="AD103" s="538"/>
      <c r="AE103" s="539"/>
      <c r="AH103" s="653"/>
    </row>
    <row r="104" spans="1:34" s="447" customFormat="1" ht="14.25" customHeight="1">
      <c r="B104" s="575"/>
      <c r="C104" s="595"/>
      <c r="D104" s="596"/>
      <c r="E104" s="595"/>
      <c r="F104" s="596"/>
      <c r="G104" s="530"/>
      <c r="H104" s="493"/>
      <c r="K104" s="532">
        <f>F104</f>
        <v>0</v>
      </c>
      <c r="L104" s="522" t="s">
        <v>76</v>
      </c>
      <c r="M104" s="533"/>
      <c r="N104" s="522" t="s">
        <v>77</v>
      </c>
      <c r="O104" s="533"/>
      <c r="P104" s="522" t="s">
        <v>78</v>
      </c>
      <c r="Q104" s="533" t="e">
        <f>#REF!</f>
        <v>#REF!</v>
      </c>
      <c r="R104" s="522" t="s">
        <v>79</v>
      </c>
      <c r="S104" s="534" t="e">
        <f>SUM(K104:Q104)</f>
        <v>#REF!</v>
      </c>
      <c r="T104" s="535"/>
      <c r="U104" s="536">
        <f>K104/$W$6</f>
        <v>0</v>
      </c>
      <c r="V104" s="533">
        <f>M104/$W$6</f>
        <v>0</v>
      </c>
      <c r="W104" s="533">
        <f>O104/$W$6</f>
        <v>0</v>
      </c>
      <c r="X104" s="533" t="e">
        <f>Q104/$W$6</f>
        <v>#REF!</v>
      </c>
      <c r="Y104" s="534" t="e">
        <f>SUM(U104:X104)</f>
        <v>#REF!</v>
      </c>
      <c r="AA104" s="537">
        <f t="shared" ref="AA104:AD104" si="66">U104*$AC$6</f>
        <v>0</v>
      </c>
      <c r="AB104" s="538">
        <f t="shared" si="66"/>
        <v>0</v>
      </c>
      <c r="AC104" s="538">
        <f t="shared" si="66"/>
        <v>0</v>
      </c>
      <c r="AD104" s="538" t="e">
        <f t="shared" si="66"/>
        <v>#REF!</v>
      </c>
      <c r="AE104" s="539" t="e">
        <f>SUM(AA104:AD104)</f>
        <v>#REF!</v>
      </c>
    </row>
    <row r="105" spans="1:34" s="442" customFormat="1" ht="21.75" customHeight="1">
      <c r="A105" s="447"/>
      <c r="B105" s="676" t="s">
        <v>445</v>
      </c>
      <c r="C105" s="677">
        <f>SUBTOTAL(9,C63:C104)</f>
        <v>0</v>
      </c>
      <c r="D105" s="677">
        <f t="shared" ref="D105:F105" si="67">SUBTOTAL(9,D64:D104)</f>
        <v>0</v>
      </c>
      <c r="E105" s="677">
        <f t="shared" si="67"/>
        <v>0</v>
      </c>
      <c r="F105" s="677">
        <f t="shared" si="67"/>
        <v>0</v>
      </c>
      <c r="G105" s="678" t="e">
        <f>SUM(G73:G104)</f>
        <v>#REF!</v>
      </c>
      <c r="H105" s="679"/>
      <c r="I105" s="574"/>
      <c r="J105" s="574"/>
      <c r="K105" s="680" t="e">
        <f>#REF!+#REF!+#REF!+K63</f>
        <v>#REF!</v>
      </c>
      <c r="L105" s="681"/>
      <c r="M105" s="680" t="e">
        <f>#REF!+#REF!+#REF!+M63</f>
        <v>#REF!</v>
      </c>
      <c r="N105" s="681"/>
      <c r="O105" s="680" t="e">
        <f>#REF!+#REF!+#REF!+O63</f>
        <v>#REF!</v>
      </c>
      <c r="P105" s="681"/>
      <c r="Q105" s="680" t="e">
        <f>#REF!+#REF!+#REF!+Q63</f>
        <v>#REF!</v>
      </c>
      <c r="R105" s="682"/>
      <c r="S105" s="680" t="e">
        <f>#REF!+#REF!+#REF!+S63</f>
        <v>#REF!</v>
      </c>
      <c r="T105" s="535"/>
      <c r="U105" s="680" t="e">
        <f>#REF!+#REF!+#REF!+U63</f>
        <v>#REF!</v>
      </c>
      <c r="V105" s="680" t="e">
        <f>#REF!+#REF!+#REF!+V63</f>
        <v>#REF!</v>
      </c>
      <c r="W105" s="680" t="e">
        <f>#REF!+#REF!+#REF!+W63</f>
        <v>#REF!</v>
      </c>
      <c r="X105" s="680" t="e">
        <f>#REF!+#REF!+#REF!+X63</f>
        <v>#REF!</v>
      </c>
      <c r="Y105" s="680" t="e">
        <f>#REF!+#REF!+#REF!+Y63</f>
        <v>#REF!</v>
      </c>
      <c r="Z105" s="683"/>
      <c r="AA105" s="680" t="e">
        <f>#REF!+#REF!+#REF!+AA63</f>
        <v>#REF!</v>
      </c>
      <c r="AB105" s="680" t="e">
        <f>#REF!+#REF!+#REF!+AB63</f>
        <v>#REF!</v>
      </c>
      <c r="AC105" s="680" t="e">
        <f>#REF!+#REF!+#REF!+AC63</f>
        <v>#REF!</v>
      </c>
      <c r="AD105" s="680" t="e">
        <f>#REF!+#REF!+#REF!+AD63</f>
        <v>#REF!</v>
      </c>
      <c r="AE105" s="680" t="e">
        <f>#REF!+#REF!+#REF!+AE63</f>
        <v>#REF!</v>
      </c>
    </row>
    <row r="106" spans="1:34" s="442" customFormat="1" ht="14.25" customHeight="1">
      <c r="B106" s="684" t="s">
        <v>446</v>
      </c>
      <c r="C106" s="685"/>
      <c r="D106" s="686">
        <f t="shared" ref="D106:F106" si="68">SUBTOTAL(9,D13:D105)</f>
        <v>0</v>
      </c>
      <c r="E106" s="686">
        <f t="shared" si="68"/>
        <v>85</v>
      </c>
      <c r="F106" s="686">
        <f t="shared" si="68"/>
        <v>0</v>
      </c>
      <c r="G106" s="687"/>
      <c r="H106" s="688"/>
      <c r="I106" s="574"/>
      <c r="J106" s="574"/>
      <c r="K106" s="689"/>
      <c r="L106" s="681"/>
      <c r="M106" s="689"/>
      <c r="N106" s="681"/>
      <c r="O106" s="689"/>
      <c r="P106" s="681"/>
      <c r="Q106" s="689"/>
      <c r="R106" s="682"/>
      <c r="S106" s="690"/>
      <c r="T106" s="535"/>
      <c r="U106" s="689"/>
      <c r="V106" s="689"/>
      <c r="W106" s="689"/>
      <c r="X106" s="689"/>
      <c r="Y106" s="689"/>
      <c r="Z106" s="683"/>
      <c r="AA106" s="689"/>
      <c r="AB106" s="689"/>
      <c r="AC106" s="689"/>
      <c r="AD106" s="689"/>
      <c r="AE106" s="689"/>
    </row>
    <row r="107" spans="1:34" ht="14.25" customHeight="1">
      <c r="A107" s="442"/>
      <c r="B107" s="691" t="s">
        <v>168</v>
      </c>
      <c r="C107" s="692"/>
      <c r="D107" s="693">
        <f>SUBTOTAL(9,D13:D106)</f>
        <v>0</v>
      </c>
      <c r="E107" s="693">
        <f>SUBTOTAL(9,E13:E106)</f>
        <v>85</v>
      </c>
      <c r="F107" s="693">
        <f>SUBTOTAL(9,F13:F106)</f>
        <v>0</v>
      </c>
      <c r="G107" s="693" t="e">
        <f>SUBTOTAL(9,G13:G106)</f>
        <v>#REF!</v>
      </c>
      <c r="H107" s="694"/>
      <c r="K107" s="695" t="e">
        <f>SUM(#REF!)</f>
        <v>#REF!</v>
      </c>
      <c r="L107" s="695"/>
      <c r="M107" s="695" t="e">
        <f>SUM(#REF!)</f>
        <v>#REF!</v>
      </c>
      <c r="N107" s="695"/>
      <c r="O107" s="695" t="e">
        <f>SUM(#REF!)</f>
        <v>#REF!</v>
      </c>
      <c r="P107" s="695"/>
      <c r="Q107" s="695" t="e">
        <f>SUM(#REF!)</f>
        <v>#REF!</v>
      </c>
      <c r="R107" s="696"/>
      <c r="S107" s="696" t="e">
        <f>SUM(#REF!)</f>
        <v>#REF!</v>
      </c>
      <c r="T107" s="535"/>
      <c r="U107" s="697" t="e">
        <f>SUM(#REF!)</f>
        <v>#REF!</v>
      </c>
      <c r="V107" s="695" t="e">
        <f>SUM(#REF!)</f>
        <v>#REF!</v>
      </c>
      <c r="W107" s="695" t="e">
        <f>SUM(#REF!)</f>
        <v>#REF!</v>
      </c>
      <c r="X107" s="695" t="e">
        <f>SUM(#REF!)</f>
        <v>#REF!</v>
      </c>
      <c r="Y107" s="695" t="e">
        <f>SUM(#REF!)</f>
        <v>#REF!</v>
      </c>
      <c r="Z107" s="698"/>
      <c r="AA107" s="699" t="e">
        <f>SUM(#REF!)</f>
        <v>#REF!</v>
      </c>
      <c r="AB107" s="699" t="e">
        <f>SUM(#REF!)</f>
        <v>#REF!</v>
      </c>
      <c r="AC107" s="699" t="e">
        <f>SUM(#REF!)</f>
        <v>#REF!</v>
      </c>
      <c r="AD107" s="699" t="e">
        <f>SUM(#REF!)</f>
        <v>#REF!</v>
      </c>
      <c r="AE107" s="699" t="e">
        <f>SUM(#REF!)</f>
        <v>#REF!</v>
      </c>
    </row>
    <row r="108" spans="1:34" ht="14.25" customHeight="1">
      <c r="B108" s="575"/>
      <c r="C108" s="527"/>
      <c r="D108" s="528"/>
      <c r="E108" s="527"/>
      <c r="F108" s="700"/>
      <c r="G108" s="530"/>
      <c r="H108" s="701"/>
      <c r="K108" s="700"/>
      <c r="L108" s="702"/>
      <c r="M108" s="700"/>
      <c r="N108" s="528"/>
      <c r="O108" s="700"/>
      <c r="P108" s="528"/>
      <c r="Q108" s="700"/>
      <c r="R108" s="703"/>
      <c r="S108" s="700"/>
      <c r="T108" s="535"/>
      <c r="U108" s="700"/>
      <c r="V108" s="700"/>
      <c r="W108" s="700"/>
      <c r="X108" s="700"/>
      <c r="Y108" s="700"/>
      <c r="Z108" s="698"/>
      <c r="AA108" s="700"/>
      <c r="AB108" s="700"/>
      <c r="AC108" s="700"/>
      <c r="AD108" s="700"/>
      <c r="AE108" s="700"/>
    </row>
    <row r="109" spans="1:34" ht="14.25" customHeight="1">
      <c r="B109" s="704" t="s">
        <v>170</v>
      </c>
      <c r="C109" s="527"/>
      <c r="D109" s="528"/>
      <c r="E109" s="527"/>
      <c r="F109" s="705">
        <f>F107</f>
        <v>0</v>
      </c>
      <c r="G109" s="530"/>
      <c r="H109" s="701"/>
      <c r="K109" s="705" t="e">
        <f>#REF!+K107</f>
        <v>#REF!</v>
      </c>
      <c r="L109" s="702"/>
      <c r="M109" s="705" t="e">
        <f>#REF!+M107</f>
        <v>#REF!</v>
      </c>
      <c r="N109" s="528"/>
      <c r="O109" s="705" t="e">
        <f>#REF!+O107</f>
        <v>#REF!</v>
      </c>
      <c r="P109" s="528"/>
      <c r="Q109" s="705" t="e">
        <f>#REF!+Q107</f>
        <v>#REF!</v>
      </c>
      <c r="R109" s="703"/>
      <c r="S109" s="705" t="e">
        <f>#REF!+S107</f>
        <v>#REF!</v>
      </c>
      <c r="T109" s="535"/>
      <c r="U109" s="705" t="e">
        <f>#REF!+U107</f>
        <v>#REF!</v>
      </c>
      <c r="V109" s="705" t="e">
        <f>#REF!+V107</f>
        <v>#REF!</v>
      </c>
      <c r="W109" s="705" t="e">
        <f>#REF!+W107</f>
        <v>#REF!</v>
      </c>
      <c r="X109" s="705" t="e">
        <f>#REF!+X107</f>
        <v>#REF!</v>
      </c>
      <c r="Y109" s="705" t="e">
        <f>#REF!+Y107</f>
        <v>#REF!</v>
      </c>
      <c r="Z109" s="698"/>
      <c r="AA109" s="705" t="e">
        <f>#REF!+AA107</f>
        <v>#REF!</v>
      </c>
      <c r="AB109" s="705" t="e">
        <f>#REF!+AB107</f>
        <v>#REF!</v>
      </c>
      <c r="AC109" s="705" t="e">
        <f>#REF!+AC107</f>
        <v>#REF!</v>
      </c>
      <c r="AD109" s="705" t="e">
        <f>#REF!+AD107</f>
        <v>#REF!</v>
      </c>
      <c r="AE109" s="705" t="e">
        <f>#REF!+AE107</f>
        <v>#REF!</v>
      </c>
    </row>
    <row r="110" spans="1:34" ht="21.75" hidden="1" customHeight="1">
      <c r="B110" s="706" t="s">
        <v>171</v>
      </c>
      <c r="C110" s="707"/>
      <c r="D110" s="708"/>
      <c r="E110" s="707"/>
      <c r="F110" s="709">
        <f ca="1">SUMIF($A9:$A108,"Y",F9:F107)</f>
        <v>0</v>
      </c>
      <c r="G110" s="710" t="e">
        <f>#REF!/#REF!</f>
        <v>#REF!</v>
      </c>
      <c r="H110" s="711"/>
      <c r="K110" s="709">
        <f ca="1">SUMIF($A9:$A108,"Y",K9:K107)</f>
        <v>0</v>
      </c>
      <c r="L110" s="702"/>
      <c r="M110" s="709" t="e">
        <f ca="1">SUMIF($A9:$A108,"Y",M9:M107)</f>
        <v>#REF!</v>
      </c>
      <c r="N110" s="528"/>
      <c r="O110" s="709" t="e">
        <f ca="1">SUMIF($A9:$A108,"Y",O9:O107)</f>
        <v>#REF!</v>
      </c>
      <c r="P110" s="528"/>
      <c r="Q110" s="709" t="e">
        <f ca="1">SUMIF($A9:$A108,"Y",Q9:Q107)</f>
        <v>#REF!</v>
      </c>
      <c r="R110" s="703"/>
      <c r="S110" s="709" t="e">
        <f ca="1">SUMIF($A9:$A108,"Y",S9:S107)</f>
        <v>#REF!</v>
      </c>
      <c r="T110" s="535"/>
      <c r="U110" s="709">
        <f ca="1">SUMIF($A9:$A108,"Y",U9:U107)</f>
        <v>0</v>
      </c>
      <c r="V110" s="709" t="e">
        <f ca="1">SUMIF($A9:$A108,"Y",V9:V107)</f>
        <v>#REF!</v>
      </c>
      <c r="W110" s="709" t="e">
        <f ca="1">SUMIF($A9:$A108,"Y",W9:W107)</f>
        <v>#REF!</v>
      </c>
      <c r="X110" s="709" t="e">
        <f ca="1">SUMIF($A9:$A108,"Y",X9:X107)</f>
        <v>#REF!</v>
      </c>
      <c r="Y110" s="709" t="e">
        <f ca="1">SUMIF($A9:$A108,"Y",Y9:Y107)</f>
        <v>#REF!</v>
      </c>
      <c r="Z110" s="698"/>
      <c r="AA110" s="709">
        <f ca="1">SUMIF($A9:$A108,"Y",AA9:AA107)</f>
        <v>0</v>
      </c>
      <c r="AB110" s="709" t="e">
        <f ca="1">SUMIF($A9:$A108,"Y",AB9:AB107)</f>
        <v>#REF!</v>
      </c>
      <c r="AC110" s="709" t="e">
        <f ca="1">SUMIF($A9:$A108,"Y",AC9:AC107)</f>
        <v>#REF!</v>
      </c>
      <c r="AD110" s="709" t="e">
        <f ca="1">SUMIF($A9:$A108,"Y",AD9:AD107)</f>
        <v>#REF!</v>
      </c>
      <c r="AE110" s="709" t="e">
        <f ca="1">SUMIF($A9:$A108,"Y",AE9:AE107)</f>
        <v>#REF!</v>
      </c>
    </row>
    <row r="117" spans="1:31" s="443" customFormat="1">
      <c r="A117" s="449"/>
      <c r="D117" s="444"/>
      <c r="F117" s="444"/>
      <c r="H117" s="446"/>
      <c r="I117" s="447"/>
      <c r="J117" s="447"/>
      <c r="T117" s="453"/>
      <c r="U117" s="444"/>
      <c r="V117" s="444"/>
      <c r="W117" s="444"/>
      <c r="X117" s="444"/>
      <c r="Y117" s="444"/>
      <c r="Z117" s="453"/>
      <c r="AA117" s="448"/>
      <c r="AB117" s="448"/>
      <c r="AC117" s="448"/>
      <c r="AD117" s="448"/>
      <c r="AE117" s="448"/>
    </row>
    <row r="118" spans="1:31" s="443" customFormat="1">
      <c r="D118" s="444"/>
      <c r="F118" s="444"/>
      <c r="H118" s="446"/>
      <c r="I118" s="447"/>
      <c r="J118" s="447"/>
      <c r="T118" s="453"/>
      <c r="U118" s="444"/>
      <c r="V118" s="444"/>
      <c r="W118" s="444"/>
      <c r="X118" s="444"/>
      <c r="Y118" s="444"/>
      <c r="Z118" s="453"/>
      <c r="AA118" s="448"/>
      <c r="AB118" s="448"/>
      <c r="AC118" s="448"/>
      <c r="AD118" s="448"/>
      <c r="AE118" s="448"/>
    </row>
    <row r="119" spans="1:31">
      <c r="A119" s="443"/>
    </row>
    <row r="123" spans="1:31">
      <c r="Y123" s="444" t="e">
        <f>#REF!</f>
        <v>#REF!</v>
      </c>
    </row>
    <row r="124" spans="1:31">
      <c r="Y124" s="444" t="e">
        <f>Y123*W6</f>
        <v>#REF!</v>
      </c>
    </row>
    <row r="128" spans="1:31">
      <c r="Y128" s="444" t="e">
        <f>Y124/2</f>
        <v>#REF!</v>
      </c>
    </row>
  </sheetData>
  <mergeCells count="7">
    <mergeCell ref="AA5:AE5"/>
    <mergeCell ref="A10:A11"/>
    <mergeCell ref="B10:B11"/>
    <mergeCell ref="G10:G11"/>
    <mergeCell ref="H44:K44"/>
    <mergeCell ref="K5:S5"/>
    <mergeCell ref="U5:Y5"/>
  </mergeCells>
  <pageMargins left="0.70866141732283472" right="0.70866141732283472" top="0.74803149606299213" bottom="0.74803149606299213" header="0.31496062992125984" footer="0.31496062992125984"/>
  <pageSetup scale="49" fitToHeight="0" orientation="landscape" r:id="rId1"/>
  <rowBreaks count="2" manualBreakCount="2">
    <brk id="53" max="16383" man="1"/>
    <brk id="61" max="16383" man="1"/>
  </rowBreaks>
  <customProperties>
    <customPr name="QAA_DRILLPATH_NODE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E7DE2-E705-490E-ADEB-B132713A7F2A}">
  <dimension ref="A2:P63"/>
  <sheetViews>
    <sheetView topLeftCell="B34" zoomScale="87" zoomScaleNormal="87" workbookViewId="0">
      <selection activeCell="B34" sqref="A1:XFD1048576"/>
    </sheetView>
  </sheetViews>
  <sheetFormatPr defaultColWidth="12.54296875" defaultRowHeight="16"/>
  <cols>
    <col min="1" max="1" width="9.1796875" style="790" customWidth="1"/>
    <col min="2" max="2" width="41.81640625" style="736" customWidth="1"/>
    <col min="3" max="3" width="13.453125" style="739" bestFit="1" customWidth="1"/>
    <col min="4" max="4" width="13.54296875" style="736" customWidth="1"/>
    <col min="5" max="5" width="11.453125" style="736" bestFit="1" customWidth="1"/>
    <col min="6" max="6" width="12.54296875" style="802" customWidth="1"/>
    <col min="7" max="7" width="12.7265625" style="735" customWidth="1"/>
    <col min="8" max="8" width="84.54296875" style="735" bestFit="1" customWidth="1"/>
    <col min="9" max="9" width="45.1796875" style="735" customWidth="1"/>
    <col min="10" max="10" width="10" style="735" bestFit="1" customWidth="1"/>
    <col min="11" max="11" width="8.54296875" style="735" bestFit="1" customWidth="1"/>
    <col min="12" max="12" width="10.54296875" style="735" customWidth="1"/>
    <col min="13" max="13" width="7.54296875" style="735" bestFit="1" customWidth="1"/>
    <col min="14" max="14" width="8.54296875" style="735" bestFit="1" customWidth="1"/>
    <col min="15" max="15" width="2.54296875" style="735" customWidth="1"/>
    <col min="16" max="16" width="2.81640625" style="735" customWidth="1"/>
    <col min="17" max="234" width="9.1796875" style="736" customWidth="1"/>
    <col min="235" max="235" width="26.1796875" style="736" customWidth="1"/>
    <col min="236" max="236" width="9.81640625" style="736" customWidth="1"/>
    <col min="237" max="237" width="10.81640625" style="736" customWidth="1"/>
    <col min="238" max="238" width="9.1796875" style="736" customWidth="1"/>
    <col min="239" max="239" width="14.453125" style="736" customWidth="1"/>
    <col min="240" max="240" width="10.81640625" style="736" customWidth="1"/>
    <col min="241" max="241" width="8.54296875" style="736" customWidth="1"/>
    <col min="242" max="242" width="0" style="736" hidden="1" customWidth="1"/>
    <col min="243" max="243" width="8.54296875" style="736" customWidth="1"/>
    <col min="244" max="244" width="0" style="736" hidden="1" customWidth="1"/>
    <col min="245" max="245" width="8.54296875" style="736" customWidth="1"/>
    <col min="246" max="246" width="0" style="736" hidden="1" customWidth="1"/>
    <col min="247" max="247" width="8.54296875" style="736" customWidth="1"/>
    <col min="248" max="248" width="0" style="736" hidden="1" customWidth="1"/>
    <col min="249" max="249" width="8.54296875" style="736" customWidth="1"/>
    <col min="250" max="250" width="14.453125" style="736" customWidth="1"/>
    <col min="251" max="255" width="12.54296875" style="736"/>
    <col min="256" max="256" width="9.1796875" style="736" customWidth="1"/>
    <col min="257" max="257" width="41.81640625" style="736" customWidth="1"/>
    <col min="258" max="258" width="13.453125" style="736" bestFit="1" customWidth="1"/>
    <col min="259" max="259" width="13.54296875" style="736" customWidth="1"/>
    <col min="260" max="260" width="11" style="736" bestFit="1" customWidth="1"/>
    <col min="261" max="262" width="14" style="736" customWidth="1"/>
    <col min="263" max="263" width="7.81640625" style="736" customWidth="1"/>
    <col min="264" max="264" width="11.81640625" style="736" bestFit="1" customWidth="1"/>
    <col min="265" max="265" width="8.54296875" style="736" bestFit="1" customWidth="1"/>
    <col min="266" max="266" width="10" style="736" bestFit="1" customWidth="1"/>
    <col min="267" max="267" width="8.54296875" style="736" bestFit="1" customWidth="1"/>
    <col min="268" max="268" width="10.54296875" style="736" customWidth="1"/>
    <col min="269" max="269" width="7.54296875" style="736" bestFit="1" customWidth="1"/>
    <col min="270" max="270" width="8.54296875" style="736" bestFit="1" customWidth="1"/>
    <col min="271" max="271" width="2.54296875" style="736" customWidth="1"/>
    <col min="272" max="272" width="2.81640625" style="736" customWidth="1"/>
    <col min="273" max="490" width="9.1796875" style="736" customWidth="1"/>
    <col min="491" max="491" width="26.1796875" style="736" customWidth="1"/>
    <col min="492" max="492" width="9.81640625" style="736" customWidth="1"/>
    <col min="493" max="493" width="10.81640625" style="736" customWidth="1"/>
    <col min="494" max="494" width="9.1796875" style="736" customWidth="1"/>
    <col min="495" max="495" width="14.453125" style="736" customWidth="1"/>
    <col min="496" max="496" width="10.81640625" style="736" customWidth="1"/>
    <col min="497" max="497" width="8.54296875" style="736" customWidth="1"/>
    <col min="498" max="498" width="0" style="736" hidden="1" customWidth="1"/>
    <col min="499" max="499" width="8.54296875" style="736" customWidth="1"/>
    <col min="500" max="500" width="0" style="736" hidden="1" customWidth="1"/>
    <col min="501" max="501" width="8.54296875" style="736" customWidth="1"/>
    <col min="502" max="502" width="0" style="736" hidden="1" customWidth="1"/>
    <col min="503" max="503" width="8.54296875" style="736" customWidth="1"/>
    <col min="504" max="504" width="0" style="736" hidden="1" customWidth="1"/>
    <col min="505" max="505" width="8.54296875" style="736" customWidth="1"/>
    <col min="506" max="506" width="14.453125" style="736" customWidth="1"/>
    <col min="507" max="511" width="12.54296875" style="736"/>
    <col min="512" max="512" width="9.1796875" style="736" customWidth="1"/>
    <col min="513" max="513" width="41.81640625" style="736" customWidth="1"/>
    <col min="514" max="514" width="13.453125" style="736" bestFit="1" customWidth="1"/>
    <col min="515" max="515" width="13.54296875" style="736" customWidth="1"/>
    <col min="516" max="516" width="11" style="736" bestFit="1" customWidth="1"/>
    <col min="517" max="518" width="14" style="736" customWidth="1"/>
    <col min="519" max="519" width="7.81640625" style="736" customWidth="1"/>
    <col min="520" max="520" width="11.81640625" style="736" bestFit="1" customWidth="1"/>
    <col min="521" max="521" width="8.54296875" style="736" bestFit="1" customWidth="1"/>
    <col min="522" max="522" width="10" style="736" bestFit="1" customWidth="1"/>
    <col min="523" max="523" width="8.54296875" style="736" bestFit="1" customWidth="1"/>
    <col min="524" max="524" width="10.54296875" style="736" customWidth="1"/>
    <col min="525" max="525" width="7.54296875" style="736" bestFit="1" customWidth="1"/>
    <col min="526" max="526" width="8.54296875" style="736" bestFit="1" customWidth="1"/>
    <col min="527" max="527" width="2.54296875" style="736" customWidth="1"/>
    <col min="528" max="528" width="2.81640625" style="736" customWidth="1"/>
    <col min="529" max="746" width="9.1796875" style="736" customWidth="1"/>
    <col min="747" max="747" width="26.1796875" style="736" customWidth="1"/>
    <col min="748" max="748" width="9.81640625" style="736" customWidth="1"/>
    <col min="749" max="749" width="10.81640625" style="736" customWidth="1"/>
    <col min="750" max="750" width="9.1796875" style="736" customWidth="1"/>
    <col min="751" max="751" width="14.453125" style="736" customWidth="1"/>
    <col min="752" max="752" width="10.81640625" style="736" customWidth="1"/>
    <col min="753" max="753" width="8.54296875" style="736" customWidth="1"/>
    <col min="754" max="754" width="0" style="736" hidden="1" customWidth="1"/>
    <col min="755" max="755" width="8.54296875" style="736" customWidth="1"/>
    <col min="756" max="756" width="0" style="736" hidden="1" customWidth="1"/>
    <col min="757" max="757" width="8.54296875" style="736" customWidth="1"/>
    <col min="758" max="758" width="0" style="736" hidden="1" customWidth="1"/>
    <col min="759" max="759" width="8.54296875" style="736" customWidth="1"/>
    <col min="760" max="760" width="0" style="736" hidden="1" customWidth="1"/>
    <col min="761" max="761" width="8.54296875" style="736" customWidth="1"/>
    <col min="762" max="762" width="14.453125" style="736" customWidth="1"/>
    <col min="763" max="767" width="12.54296875" style="736"/>
    <col min="768" max="768" width="9.1796875" style="736" customWidth="1"/>
    <col min="769" max="769" width="41.81640625" style="736" customWidth="1"/>
    <col min="770" max="770" width="13.453125" style="736" bestFit="1" customWidth="1"/>
    <col min="771" max="771" width="13.54296875" style="736" customWidth="1"/>
    <col min="772" max="772" width="11" style="736" bestFit="1" customWidth="1"/>
    <col min="773" max="774" width="14" style="736" customWidth="1"/>
    <col min="775" max="775" width="7.81640625" style="736" customWidth="1"/>
    <col min="776" max="776" width="11.81640625" style="736" bestFit="1" customWidth="1"/>
    <col min="777" max="777" width="8.54296875" style="736" bestFit="1" customWidth="1"/>
    <col min="778" max="778" width="10" style="736" bestFit="1" customWidth="1"/>
    <col min="779" max="779" width="8.54296875" style="736" bestFit="1" customWidth="1"/>
    <col min="780" max="780" width="10.54296875" style="736" customWidth="1"/>
    <col min="781" max="781" width="7.54296875" style="736" bestFit="1" customWidth="1"/>
    <col min="782" max="782" width="8.54296875" style="736" bestFit="1" customWidth="1"/>
    <col min="783" max="783" width="2.54296875" style="736" customWidth="1"/>
    <col min="784" max="784" width="2.81640625" style="736" customWidth="1"/>
    <col min="785" max="1002" width="9.1796875" style="736" customWidth="1"/>
    <col min="1003" max="1003" width="26.1796875" style="736" customWidth="1"/>
    <col min="1004" max="1004" width="9.81640625" style="736" customWidth="1"/>
    <col min="1005" max="1005" width="10.81640625" style="736" customWidth="1"/>
    <col min="1006" max="1006" width="9.1796875" style="736" customWidth="1"/>
    <col min="1007" max="1007" width="14.453125" style="736" customWidth="1"/>
    <col min="1008" max="1008" width="10.81640625" style="736" customWidth="1"/>
    <col min="1009" max="1009" width="8.54296875" style="736" customWidth="1"/>
    <col min="1010" max="1010" width="0" style="736" hidden="1" customWidth="1"/>
    <col min="1011" max="1011" width="8.54296875" style="736" customWidth="1"/>
    <col min="1012" max="1012" width="0" style="736" hidden="1" customWidth="1"/>
    <col min="1013" max="1013" width="8.54296875" style="736" customWidth="1"/>
    <col min="1014" max="1014" width="0" style="736" hidden="1" customWidth="1"/>
    <col min="1015" max="1015" width="8.54296875" style="736" customWidth="1"/>
    <col min="1016" max="1016" width="0" style="736" hidden="1" customWidth="1"/>
    <col min="1017" max="1017" width="8.54296875" style="736" customWidth="1"/>
    <col min="1018" max="1018" width="14.453125" style="736" customWidth="1"/>
    <col min="1019" max="1023" width="12.54296875" style="736"/>
    <col min="1024" max="1024" width="9.1796875" style="736" customWidth="1"/>
    <col min="1025" max="1025" width="41.81640625" style="736" customWidth="1"/>
    <col min="1026" max="1026" width="13.453125" style="736" bestFit="1" customWidth="1"/>
    <col min="1027" max="1027" width="13.54296875" style="736" customWidth="1"/>
    <col min="1028" max="1028" width="11" style="736" bestFit="1" customWidth="1"/>
    <col min="1029" max="1030" width="14" style="736" customWidth="1"/>
    <col min="1031" max="1031" width="7.81640625" style="736" customWidth="1"/>
    <col min="1032" max="1032" width="11.81640625" style="736" bestFit="1" customWidth="1"/>
    <col min="1033" max="1033" width="8.54296875" style="736" bestFit="1" customWidth="1"/>
    <col min="1034" max="1034" width="10" style="736" bestFit="1" customWidth="1"/>
    <col min="1035" max="1035" width="8.54296875" style="736" bestFit="1" customWidth="1"/>
    <col min="1036" max="1036" width="10.54296875" style="736" customWidth="1"/>
    <col min="1037" max="1037" width="7.54296875" style="736" bestFit="1" customWidth="1"/>
    <col min="1038" max="1038" width="8.54296875" style="736" bestFit="1" customWidth="1"/>
    <col min="1039" max="1039" width="2.54296875" style="736" customWidth="1"/>
    <col min="1040" max="1040" width="2.81640625" style="736" customWidth="1"/>
    <col min="1041" max="1258" width="9.1796875" style="736" customWidth="1"/>
    <col min="1259" max="1259" width="26.1796875" style="736" customWidth="1"/>
    <col min="1260" max="1260" width="9.81640625" style="736" customWidth="1"/>
    <col min="1261" max="1261" width="10.81640625" style="736" customWidth="1"/>
    <col min="1262" max="1262" width="9.1796875" style="736" customWidth="1"/>
    <col min="1263" max="1263" width="14.453125" style="736" customWidth="1"/>
    <col min="1264" max="1264" width="10.81640625" style="736" customWidth="1"/>
    <col min="1265" max="1265" width="8.54296875" style="736" customWidth="1"/>
    <col min="1266" max="1266" width="0" style="736" hidden="1" customWidth="1"/>
    <col min="1267" max="1267" width="8.54296875" style="736" customWidth="1"/>
    <col min="1268" max="1268" width="0" style="736" hidden="1" customWidth="1"/>
    <col min="1269" max="1269" width="8.54296875" style="736" customWidth="1"/>
    <col min="1270" max="1270" width="0" style="736" hidden="1" customWidth="1"/>
    <col min="1271" max="1271" width="8.54296875" style="736" customWidth="1"/>
    <col min="1272" max="1272" width="0" style="736" hidden="1" customWidth="1"/>
    <col min="1273" max="1273" width="8.54296875" style="736" customWidth="1"/>
    <col min="1274" max="1274" width="14.453125" style="736" customWidth="1"/>
    <col min="1275" max="1279" width="12.54296875" style="736"/>
    <col min="1280" max="1280" width="9.1796875" style="736" customWidth="1"/>
    <col min="1281" max="1281" width="41.81640625" style="736" customWidth="1"/>
    <col min="1282" max="1282" width="13.453125" style="736" bestFit="1" customWidth="1"/>
    <col min="1283" max="1283" width="13.54296875" style="736" customWidth="1"/>
    <col min="1284" max="1284" width="11" style="736" bestFit="1" customWidth="1"/>
    <col min="1285" max="1286" width="14" style="736" customWidth="1"/>
    <col min="1287" max="1287" width="7.81640625" style="736" customWidth="1"/>
    <col min="1288" max="1288" width="11.81640625" style="736" bestFit="1" customWidth="1"/>
    <col min="1289" max="1289" width="8.54296875" style="736" bestFit="1" customWidth="1"/>
    <col min="1290" max="1290" width="10" style="736" bestFit="1" customWidth="1"/>
    <col min="1291" max="1291" width="8.54296875" style="736" bestFit="1" customWidth="1"/>
    <col min="1292" max="1292" width="10.54296875" style="736" customWidth="1"/>
    <col min="1293" max="1293" width="7.54296875" style="736" bestFit="1" customWidth="1"/>
    <col min="1294" max="1294" width="8.54296875" style="736" bestFit="1" customWidth="1"/>
    <col min="1295" max="1295" width="2.54296875" style="736" customWidth="1"/>
    <col min="1296" max="1296" width="2.81640625" style="736" customWidth="1"/>
    <col min="1297" max="1514" width="9.1796875" style="736" customWidth="1"/>
    <col min="1515" max="1515" width="26.1796875" style="736" customWidth="1"/>
    <col min="1516" max="1516" width="9.81640625" style="736" customWidth="1"/>
    <col min="1517" max="1517" width="10.81640625" style="736" customWidth="1"/>
    <col min="1518" max="1518" width="9.1796875" style="736" customWidth="1"/>
    <col min="1519" max="1519" width="14.453125" style="736" customWidth="1"/>
    <col min="1520" max="1520" width="10.81640625" style="736" customWidth="1"/>
    <col min="1521" max="1521" width="8.54296875" style="736" customWidth="1"/>
    <col min="1522" max="1522" width="0" style="736" hidden="1" customWidth="1"/>
    <col min="1523" max="1523" width="8.54296875" style="736" customWidth="1"/>
    <col min="1524" max="1524" width="0" style="736" hidden="1" customWidth="1"/>
    <col min="1525" max="1525" width="8.54296875" style="736" customWidth="1"/>
    <col min="1526" max="1526" width="0" style="736" hidden="1" customWidth="1"/>
    <col min="1527" max="1527" width="8.54296875" style="736" customWidth="1"/>
    <col min="1528" max="1528" width="0" style="736" hidden="1" customWidth="1"/>
    <col min="1529" max="1529" width="8.54296875" style="736" customWidth="1"/>
    <col min="1530" max="1530" width="14.453125" style="736" customWidth="1"/>
    <col min="1531" max="1535" width="12.54296875" style="736"/>
    <col min="1536" max="1536" width="9.1796875" style="736" customWidth="1"/>
    <col min="1537" max="1537" width="41.81640625" style="736" customWidth="1"/>
    <col min="1538" max="1538" width="13.453125" style="736" bestFit="1" customWidth="1"/>
    <col min="1539" max="1539" width="13.54296875" style="736" customWidth="1"/>
    <col min="1540" max="1540" width="11" style="736" bestFit="1" customWidth="1"/>
    <col min="1541" max="1542" width="14" style="736" customWidth="1"/>
    <col min="1543" max="1543" width="7.81640625" style="736" customWidth="1"/>
    <col min="1544" max="1544" width="11.81640625" style="736" bestFit="1" customWidth="1"/>
    <col min="1545" max="1545" width="8.54296875" style="736" bestFit="1" customWidth="1"/>
    <col min="1546" max="1546" width="10" style="736" bestFit="1" customWidth="1"/>
    <col min="1547" max="1547" width="8.54296875" style="736" bestFit="1" customWidth="1"/>
    <col min="1548" max="1548" width="10.54296875" style="736" customWidth="1"/>
    <col min="1549" max="1549" width="7.54296875" style="736" bestFit="1" customWidth="1"/>
    <col min="1550" max="1550" width="8.54296875" style="736" bestFit="1" customWidth="1"/>
    <col min="1551" max="1551" width="2.54296875" style="736" customWidth="1"/>
    <col min="1552" max="1552" width="2.81640625" style="736" customWidth="1"/>
    <col min="1553" max="1770" width="9.1796875" style="736" customWidth="1"/>
    <col min="1771" max="1771" width="26.1796875" style="736" customWidth="1"/>
    <col min="1772" max="1772" width="9.81640625" style="736" customWidth="1"/>
    <col min="1773" max="1773" width="10.81640625" style="736" customWidth="1"/>
    <col min="1774" max="1774" width="9.1796875" style="736" customWidth="1"/>
    <col min="1775" max="1775" width="14.453125" style="736" customWidth="1"/>
    <col min="1776" max="1776" width="10.81640625" style="736" customWidth="1"/>
    <col min="1777" max="1777" width="8.54296875" style="736" customWidth="1"/>
    <col min="1778" max="1778" width="0" style="736" hidden="1" customWidth="1"/>
    <col min="1779" max="1779" width="8.54296875" style="736" customWidth="1"/>
    <col min="1780" max="1780" width="0" style="736" hidden="1" customWidth="1"/>
    <col min="1781" max="1781" width="8.54296875" style="736" customWidth="1"/>
    <col min="1782" max="1782" width="0" style="736" hidden="1" customWidth="1"/>
    <col min="1783" max="1783" width="8.54296875" style="736" customWidth="1"/>
    <col min="1784" max="1784" width="0" style="736" hidden="1" customWidth="1"/>
    <col min="1785" max="1785" width="8.54296875" style="736" customWidth="1"/>
    <col min="1786" max="1786" width="14.453125" style="736" customWidth="1"/>
    <col min="1787" max="1791" width="12.54296875" style="736"/>
    <col min="1792" max="1792" width="9.1796875" style="736" customWidth="1"/>
    <col min="1793" max="1793" width="41.81640625" style="736" customWidth="1"/>
    <col min="1794" max="1794" width="13.453125" style="736" bestFit="1" customWidth="1"/>
    <col min="1795" max="1795" width="13.54296875" style="736" customWidth="1"/>
    <col min="1796" max="1796" width="11" style="736" bestFit="1" customWidth="1"/>
    <col min="1797" max="1798" width="14" style="736" customWidth="1"/>
    <col min="1799" max="1799" width="7.81640625" style="736" customWidth="1"/>
    <col min="1800" max="1800" width="11.81640625" style="736" bestFit="1" customWidth="1"/>
    <col min="1801" max="1801" width="8.54296875" style="736" bestFit="1" customWidth="1"/>
    <col min="1802" max="1802" width="10" style="736" bestFit="1" customWidth="1"/>
    <col min="1803" max="1803" width="8.54296875" style="736" bestFit="1" customWidth="1"/>
    <col min="1804" max="1804" width="10.54296875" style="736" customWidth="1"/>
    <col min="1805" max="1805" width="7.54296875" style="736" bestFit="1" customWidth="1"/>
    <col min="1806" max="1806" width="8.54296875" style="736" bestFit="1" customWidth="1"/>
    <col min="1807" max="1807" width="2.54296875" style="736" customWidth="1"/>
    <col min="1808" max="1808" width="2.81640625" style="736" customWidth="1"/>
    <col min="1809" max="2026" width="9.1796875" style="736" customWidth="1"/>
    <col min="2027" max="2027" width="26.1796875" style="736" customWidth="1"/>
    <col min="2028" max="2028" width="9.81640625" style="736" customWidth="1"/>
    <col min="2029" max="2029" width="10.81640625" style="736" customWidth="1"/>
    <col min="2030" max="2030" width="9.1796875" style="736" customWidth="1"/>
    <col min="2031" max="2031" width="14.453125" style="736" customWidth="1"/>
    <col min="2032" max="2032" width="10.81640625" style="736" customWidth="1"/>
    <col min="2033" max="2033" width="8.54296875" style="736" customWidth="1"/>
    <col min="2034" max="2034" width="0" style="736" hidden="1" customWidth="1"/>
    <col min="2035" max="2035" width="8.54296875" style="736" customWidth="1"/>
    <col min="2036" max="2036" width="0" style="736" hidden="1" customWidth="1"/>
    <col min="2037" max="2037" width="8.54296875" style="736" customWidth="1"/>
    <col min="2038" max="2038" width="0" style="736" hidden="1" customWidth="1"/>
    <col min="2039" max="2039" width="8.54296875" style="736" customWidth="1"/>
    <col min="2040" max="2040" width="0" style="736" hidden="1" customWidth="1"/>
    <col min="2041" max="2041" width="8.54296875" style="736" customWidth="1"/>
    <col min="2042" max="2042" width="14.453125" style="736" customWidth="1"/>
    <col min="2043" max="2047" width="12.54296875" style="736"/>
    <col min="2048" max="2048" width="9.1796875" style="736" customWidth="1"/>
    <col min="2049" max="2049" width="41.81640625" style="736" customWidth="1"/>
    <col min="2050" max="2050" width="13.453125" style="736" bestFit="1" customWidth="1"/>
    <col min="2051" max="2051" width="13.54296875" style="736" customWidth="1"/>
    <col min="2052" max="2052" width="11" style="736" bestFit="1" customWidth="1"/>
    <col min="2053" max="2054" width="14" style="736" customWidth="1"/>
    <col min="2055" max="2055" width="7.81640625" style="736" customWidth="1"/>
    <col min="2056" max="2056" width="11.81640625" style="736" bestFit="1" customWidth="1"/>
    <col min="2057" max="2057" width="8.54296875" style="736" bestFit="1" customWidth="1"/>
    <col min="2058" max="2058" width="10" style="736" bestFit="1" customWidth="1"/>
    <col min="2059" max="2059" width="8.54296875" style="736" bestFit="1" customWidth="1"/>
    <col min="2060" max="2060" width="10.54296875" style="736" customWidth="1"/>
    <col min="2061" max="2061" width="7.54296875" style="736" bestFit="1" customWidth="1"/>
    <col min="2062" max="2062" width="8.54296875" style="736" bestFit="1" customWidth="1"/>
    <col min="2063" max="2063" width="2.54296875" style="736" customWidth="1"/>
    <col min="2064" max="2064" width="2.81640625" style="736" customWidth="1"/>
    <col min="2065" max="2282" width="9.1796875" style="736" customWidth="1"/>
    <col min="2283" max="2283" width="26.1796875" style="736" customWidth="1"/>
    <col min="2284" max="2284" width="9.81640625" style="736" customWidth="1"/>
    <col min="2285" max="2285" width="10.81640625" style="736" customWidth="1"/>
    <col min="2286" max="2286" width="9.1796875" style="736" customWidth="1"/>
    <col min="2287" max="2287" width="14.453125" style="736" customWidth="1"/>
    <col min="2288" max="2288" width="10.81640625" style="736" customWidth="1"/>
    <col min="2289" max="2289" width="8.54296875" style="736" customWidth="1"/>
    <col min="2290" max="2290" width="0" style="736" hidden="1" customWidth="1"/>
    <col min="2291" max="2291" width="8.54296875" style="736" customWidth="1"/>
    <col min="2292" max="2292" width="0" style="736" hidden="1" customWidth="1"/>
    <col min="2293" max="2293" width="8.54296875" style="736" customWidth="1"/>
    <col min="2294" max="2294" width="0" style="736" hidden="1" customWidth="1"/>
    <col min="2295" max="2295" width="8.54296875" style="736" customWidth="1"/>
    <col min="2296" max="2296" width="0" style="736" hidden="1" customWidth="1"/>
    <col min="2297" max="2297" width="8.54296875" style="736" customWidth="1"/>
    <col min="2298" max="2298" width="14.453125" style="736" customWidth="1"/>
    <col min="2299" max="2303" width="12.54296875" style="736"/>
    <col min="2304" max="2304" width="9.1796875" style="736" customWidth="1"/>
    <col min="2305" max="2305" width="41.81640625" style="736" customWidth="1"/>
    <col min="2306" max="2306" width="13.453125" style="736" bestFit="1" customWidth="1"/>
    <col min="2307" max="2307" width="13.54296875" style="736" customWidth="1"/>
    <col min="2308" max="2308" width="11" style="736" bestFit="1" customWidth="1"/>
    <col min="2309" max="2310" width="14" style="736" customWidth="1"/>
    <col min="2311" max="2311" width="7.81640625" style="736" customWidth="1"/>
    <col min="2312" max="2312" width="11.81640625" style="736" bestFit="1" customWidth="1"/>
    <col min="2313" max="2313" width="8.54296875" style="736" bestFit="1" customWidth="1"/>
    <col min="2314" max="2314" width="10" style="736" bestFit="1" customWidth="1"/>
    <col min="2315" max="2315" width="8.54296875" style="736" bestFit="1" customWidth="1"/>
    <col min="2316" max="2316" width="10.54296875" style="736" customWidth="1"/>
    <col min="2317" max="2317" width="7.54296875" style="736" bestFit="1" customWidth="1"/>
    <col min="2318" max="2318" width="8.54296875" style="736" bestFit="1" customWidth="1"/>
    <col min="2319" max="2319" width="2.54296875" style="736" customWidth="1"/>
    <col min="2320" max="2320" width="2.81640625" style="736" customWidth="1"/>
    <col min="2321" max="2538" width="9.1796875" style="736" customWidth="1"/>
    <col min="2539" max="2539" width="26.1796875" style="736" customWidth="1"/>
    <col min="2540" max="2540" width="9.81640625" style="736" customWidth="1"/>
    <col min="2541" max="2541" width="10.81640625" style="736" customWidth="1"/>
    <col min="2542" max="2542" width="9.1796875" style="736" customWidth="1"/>
    <col min="2543" max="2543" width="14.453125" style="736" customWidth="1"/>
    <col min="2544" max="2544" width="10.81640625" style="736" customWidth="1"/>
    <col min="2545" max="2545" width="8.54296875" style="736" customWidth="1"/>
    <col min="2546" max="2546" width="0" style="736" hidden="1" customWidth="1"/>
    <col min="2547" max="2547" width="8.54296875" style="736" customWidth="1"/>
    <col min="2548" max="2548" width="0" style="736" hidden="1" customWidth="1"/>
    <col min="2549" max="2549" width="8.54296875" style="736" customWidth="1"/>
    <col min="2550" max="2550" width="0" style="736" hidden="1" customWidth="1"/>
    <col min="2551" max="2551" width="8.54296875" style="736" customWidth="1"/>
    <col min="2552" max="2552" width="0" style="736" hidden="1" customWidth="1"/>
    <col min="2553" max="2553" width="8.54296875" style="736" customWidth="1"/>
    <col min="2554" max="2554" width="14.453125" style="736" customWidth="1"/>
    <col min="2555" max="2559" width="12.54296875" style="736"/>
    <col min="2560" max="2560" width="9.1796875" style="736" customWidth="1"/>
    <col min="2561" max="2561" width="41.81640625" style="736" customWidth="1"/>
    <col min="2562" max="2562" width="13.453125" style="736" bestFit="1" customWidth="1"/>
    <col min="2563" max="2563" width="13.54296875" style="736" customWidth="1"/>
    <col min="2564" max="2564" width="11" style="736" bestFit="1" customWidth="1"/>
    <col min="2565" max="2566" width="14" style="736" customWidth="1"/>
    <col min="2567" max="2567" width="7.81640625" style="736" customWidth="1"/>
    <col min="2568" max="2568" width="11.81640625" style="736" bestFit="1" customWidth="1"/>
    <col min="2569" max="2569" width="8.54296875" style="736" bestFit="1" customWidth="1"/>
    <col min="2570" max="2570" width="10" style="736" bestFit="1" customWidth="1"/>
    <col min="2571" max="2571" width="8.54296875" style="736" bestFit="1" customWidth="1"/>
    <col min="2572" max="2572" width="10.54296875" style="736" customWidth="1"/>
    <col min="2573" max="2573" width="7.54296875" style="736" bestFit="1" customWidth="1"/>
    <col min="2574" max="2574" width="8.54296875" style="736" bestFit="1" customWidth="1"/>
    <col min="2575" max="2575" width="2.54296875" style="736" customWidth="1"/>
    <col min="2576" max="2576" width="2.81640625" style="736" customWidth="1"/>
    <col min="2577" max="2794" width="9.1796875" style="736" customWidth="1"/>
    <col min="2795" max="2795" width="26.1796875" style="736" customWidth="1"/>
    <col min="2796" max="2796" width="9.81640625" style="736" customWidth="1"/>
    <col min="2797" max="2797" width="10.81640625" style="736" customWidth="1"/>
    <col min="2798" max="2798" width="9.1796875" style="736" customWidth="1"/>
    <col min="2799" max="2799" width="14.453125" style="736" customWidth="1"/>
    <col min="2800" max="2800" width="10.81640625" style="736" customWidth="1"/>
    <col min="2801" max="2801" width="8.54296875" style="736" customWidth="1"/>
    <col min="2802" max="2802" width="0" style="736" hidden="1" customWidth="1"/>
    <col min="2803" max="2803" width="8.54296875" style="736" customWidth="1"/>
    <col min="2804" max="2804" width="0" style="736" hidden="1" customWidth="1"/>
    <col min="2805" max="2805" width="8.54296875" style="736" customWidth="1"/>
    <col min="2806" max="2806" width="0" style="736" hidden="1" customWidth="1"/>
    <col min="2807" max="2807" width="8.54296875" style="736" customWidth="1"/>
    <col min="2808" max="2808" width="0" style="736" hidden="1" customWidth="1"/>
    <col min="2809" max="2809" width="8.54296875" style="736" customWidth="1"/>
    <col min="2810" max="2810" width="14.453125" style="736" customWidth="1"/>
    <col min="2811" max="2815" width="12.54296875" style="736"/>
    <col min="2816" max="2816" width="9.1796875" style="736" customWidth="1"/>
    <col min="2817" max="2817" width="41.81640625" style="736" customWidth="1"/>
    <col min="2818" max="2818" width="13.453125" style="736" bestFit="1" customWidth="1"/>
    <col min="2819" max="2819" width="13.54296875" style="736" customWidth="1"/>
    <col min="2820" max="2820" width="11" style="736" bestFit="1" customWidth="1"/>
    <col min="2821" max="2822" width="14" style="736" customWidth="1"/>
    <col min="2823" max="2823" width="7.81640625" style="736" customWidth="1"/>
    <col min="2824" max="2824" width="11.81640625" style="736" bestFit="1" customWidth="1"/>
    <col min="2825" max="2825" width="8.54296875" style="736" bestFit="1" customWidth="1"/>
    <col min="2826" max="2826" width="10" style="736" bestFit="1" customWidth="1"/>
    <col min="2827" max="2827" width="8.54296875" style="736" bestFit="1" customWidth="1"/>
    <col min="2828" max="2828" width="10.54296875" style="736" customWidth="1"/>
    <col min="2829" max="2829" width="7.54296875" style="736" bestFit="1" customWidth="1"/>
    <col min="2830" max="2830" width="8.54296875" style="736" bestFit="1" customWidth="1"/>
    <col min="2831" max="2831" width="2.54296875" style="736" customWidth="1"/>
    <col min="2832" max="2832" width="2.81640625" style="736" customWidth="1"/>
    <col min="2833" max="3050" width="9.1796875" style="736" customWidth="1"/>
    <col min="3051" max="3051" width="26.1796875" style="736" customWidth="1"/>
    <col min="3052" max="3052" width="9.81640625" style="736" customWidth="1"/>
    <col min="3053" max="3053" width="10.81640625" style="736" customWidth="1"/>
    <col min="3054" max="3054" width="9.1796875" style="736" customWidth="1"/>
    <col min="3055" max="3055" width="14.453125" style="736" customWidth="1"/>
    <col min="3056" max="3056" width="10.81640625" style="736" customWidth="1"/>
    <col min="3057" max="3057" width="8.54296875" style="736" customWidth="1"/>
    <col min="3058" max="3058" width="0" style="736" hidden="1" customWidth="1"/>
    <col min="3059" max="3059" width="8.54296875" style="736" customWidth="1"/>
    <col min="3060" max="3060" width="0" style="736" hidden="1" customWidth="1"/>
    <col min="3061" max="3061" width="8.54296875" style="736" customWidth="1"/>
    <col min="3062" max="3062" width="0" style="736" hidden="1" customWidth="1"/>
    <col min="3063" max="3063" width="8.54296875" style="736" customWidth="1"/>
    <col min="3064" max="3064" width="0" style="736" hidden="1" customWidth="1"/>
    <col min="3065" max="3065" width="8.54296875" style="736" customWidth="1"/>
    <col min="3066" max="3066" width="14.453125" style="736" customWidth="1"/>
    <col min="3067" max="3071" width="12.54296875" style="736"/>
    <col min="3072" max="3072" width="9.1796875" style="736" customWidth="1"/>
    <col min="3073" max="3073" width="41.81640625" style="736" customWidth="1"/>
    <col min="3074" max="3074" width="13.453125" style="736" bestFit="1" customWidth="1"/>
    <col min="3075" max="3075" width="13.54296875" style="736" customWidth="1"/>
    <col min="3076" max="3076" width="11" style="736" bestFit="1" customWidth="1"/>
    <col min="3077" max="3078" width="14" style="736" customWidth="1"/>
    <col min="3079" max="3079" width="7.81640625" style="736" customWidth="1"/>
    <col min="3080" max="3080" width="11.81640625" style="736" bestFit="1" customWidth="1"/>
    <col min="3081" max="3081" width="8.54296875" style="736" bestFit="1" customWidth="1"/>
    <col min="3082" max="3082" width="10" style="736" bestFit="1" customWidth="1"/>
    <col min="3083" max="3083" width="8.54296875" style="736" bestFit="1" customWidth="1"/>
    <col min="3084" max="3084" width="10.54296875" style="736" customWidth="1"/>
    <col min="3085" max="3085" width="7.54296875" style="736" bestFit="1" customWidth="1"/>
    <col min="3086" max="3086" width="8.54296875" style="736" bestFit="1" customWidth="1"/>
    <col min="3087" max="3087" width="2.54296875" style="736" customWidth="1"/>
    <col min="3088" max="3088" width="2.81640625" style="736" customWidth="1"/>
    <col min="3089" max="3306" width="9.1796875" style="736" customWidth="1"/>
    <col min="3307" max="3307" width="26.1796875" style="736" customWidth="1"/>
    <col min="3308" max="3308" width="9.81640625" style="736" customWidth="1"/>
    <col min="3309" max="3309" width="10.81640625" style="736" customWidth="1"/>
    <col min="3310" max="3310" width="9.1796875" style="736" customWidth="1"/>
    <col min="3311" max="3311" width="14.453125" style="736" customWidth="1"/>
    <col min="3312" max="3312" width="10.81640625" style="736" customWidth="1"/>
    <col min="3313" max="3313" width="8.54296875" style="736" customWidth="1"/>
    <col min="3314" max="3314" width="0" style="736" hidden="1" customWidth="1"/>
    <col min="3315" max="3315" width="8.54296875" style="736" customWidth="1"/>
    <col min="3316" max="3316" width="0" style="736" hidden="1" customWidth="1"/>
    <col min="3317" max="3317" width="8.54296875" style="736" customWidth="1"/>
    <col min="3318" max="3318" width="0" style="736" hidden="1" customWidth="1"/>
    <col min="3319" max="3319" width="8.54296875" style="736" customWidth="1"/>
    <col min="3320" max="3320" width="0" style="736" hidden="1" customWidth="1"/>
    <col min="3321" max="3321" width="8.54296875" style="736" customWidth="1"/>
    <col min="3322" max="3322" width="14.453125" style="736" customWidth="1"/>
    <col min="3323" max="3327" width="12.54296875" style="736"/>
    <col min="3328" max="3328" width="9.1796875" style="736" customWidth="1"/>
    <col min="3329" max="3329" width="41.81640625" style="736" customWidth="1"/>
    <col min="3330" max="3330" width="13.453125" style="736" bestFit="1" customWidth="1"/>
    <col min="3331" max="3331" width="13.54296875" style="736" customWidth="1"/>
    <col min="3332" max="3332" width="11" style="736" bestFit="1" customWidth="1"/>
    <col min="3333" max="3334" width="14" style="736" customWidth="1"/>
    <col min="3335" max="3335" width="7.81640625" style="736" customWidth="1"/>
    <col min="3336" max="3336" width="11.81640625" style="736" bestFit="1" customWidth="1"/>
    <col min="3337" max="3337" width="8.54296875" style="736" bestFit="1" customWidth="1"/>
    <col min="3338" max="3338" width="10" style="736" bestFit="1" customWidth="1"/>
    <col min="3339" max="3339" width="8.54296875" style="736" bestFit="1" customWidth="1"/>
    <col min="3340" max="3340" width="10.54296875" style="736" customWidth="1"/>
    <col min="3341" max="3341" width="7.54296875" style="736" bestFit="1" customWidth="1"/>
    <col min="3342" max="3342" width="8.54296875" style="736" bestFit="1" customWidth="1"/>
    <col min="3343" max="3343" width="2.54296875" style="736" customWidth="1"/>
    <col min="3344" max="3344" width="2.81640625" style="736" customWidth="1"/>
    <col min="3345" max="3562" width="9.1796875" style="736" customWidth="1"/>
    <col min="3563" max="3563" width="26.1796875" style="736" customWidth="1"/>
    <col min="3564" max="3564" width="9.81640625" style="736" customWidth="1"/>
    <col min="3565" max="3565" width="10.81640625" style="736" customWidth="1"/>
    <col min="3566" max="3566" width="9.1796875" style="736" customWidth="1"/>
    <col min="3567" max="3567" width="14.453125" style="736" customWidth="1"/>
    <col min="3568" max="3568" width="10.81640625" style="736" customWidth="1"/>
    <col min="3569" max="3569" width="8.54296875" style="736" customWidth="1"/>
    <col min="3570" max="3570" width="0" style="736" hidden="1" customWidth="1"/>
    <col min="3571" max="3571" width="8.54296875" style="736" customWidth="1"/>
    <col min="3572" max="3572" width="0" style="736" hidden="1" customWidth="1"/>
    <col min="3573" max="3573" width="8.54296875" style="736" customWidth="1"/>
    <col min="3574" max="3574" width="0" style="736" hidden="1" customWidth="1"/>
    <col min="3575" max="3575" width="8.54296875" style="736" customWidth="1"/>
    <col min="3576" max="3576" width="0" style="736" hidden="1" customWidth="1"/>
    <col min="3577" max="3577" width="8.54296875" style="736" customWidth="1"/>
    <col min="3578" max="3578" width="14.453125" style="736" customWidth="1"/>
    <col min="3579" max="3583" width="12.54296875" style="736"/>
    <col min="3584" max="3584" width="9.1796875" style="736" customWidth="1"/>
    <col min="3585" max="3585" width="41.81640625" style="736" customWidth="1"/>
    <col min="3586" max="3586" width="13.453125" style="736" bestFit="1" customWidth="1"/>
    <col min="3587" max="3587" width="13.54296875" style="736" customWidth="1"/>
    <col min="3588" max="3588" width="11" style="736" bestFit="1" customWidth="1"/>
    <col min="3589" max="3590" width="14" style="736" customWidth="1"/>
    <col min="3591" max="3591" width="7.81640625" style="736" customWidth="1"/>
    <col min="3592" max="3592" width="11.81640625" style="736" bestFit="1" customWidth="1"/>
    <col min="3593" max="3593" width="8.54296875" style="736" bestFit="1" customWidth="1"/>
    <col min="3594" max="3594" width="10" style="736" bestFit="1" customWidth="1"/>
    <col min="3595" max="3595" width="8.54296875" style="736" bestFit="1" customWidth="1"/>
    <col min="3596" max="3596" width="10.54296875" style="736" customWidth="1"/>
    <col min="3597" max="3597" width="7.54296875" style="736" bestFit="1" customWidth="1"/>
    <col min="3598" max="3598" width="8.54296875" style="736" bestFit="1" customWidth="1"/>
    <col min="3599" max="3599" width="2.54296875" style="736" customWidth="1"/>
    <col min="3600" max="3600" width="2.81640625" style="736" customWidth="1"/>
    <col min="3601" max="3818" width="9.1796875" style="736" customWidth="1"/>
    <col min="3819" max="3819" width="26.1796875" style="736" customWidth="1"/>
    <col min="3820" max="3820" width="9.81640625" style="736" customWidth="1"/>
    <col min="3821" max="3821" width="10.81640625" style="736" customWidth="1"/>
    <col min="3822" max="3822" width="9.1796875" style="736" customWidth="1"/>
    <col min="3823" max="3823" width="14.453125" style="736" customWidth="1"/>
    <col min="3824" max="3824" width="10.81640625" style="736" customWidth="1"/>
    <col min="3825" max="3825" width="8.54296875" style="736" customWidth="1"/>
    <col min="3826" max="3826" width="0" style="736" hidden="1" customWidth="1"/>
    <col min="3827" max="3827" width="8.54296875" style="736" customWidth="1"/>
    <col min="3828" max="3828" width="0" style="736" hidden="1" customWidth="1"/>
    <col min="3829" max="3829" width="8.54296875" style="736" customWidth="1"/>
    <col min="3830" max="3830" width="0" style="736" hidden="1" customWidth="1"/>
    <col min="3831" max="3831" width="8.54296875" style="736" customWidth="1"/>
    <col min="3832" max="3832" width="0" style="736" hidden="1" customWidth="1"/>
    <col min="3833" max="3833" width="8.54296875" style="736" customWidth="1"/>
    <col min="3834" max="3834" width="14.453125" style="736" customWidth="1"/>
    <col min="3835" max="3839" width="12.54296875" style="736"/>
    <col min="3840" max="3840" width="9.1796875" style="736" customWidth="1"/>
    <col min="3841" max="3841" width="41.81640625" style="736" customWidth="1"/>
    <col min="3842" max="3842" width="13.453125" style="736" bestFit="1" customWidth="1"/>
    <col min="3843" max="3843" width="13.54296875" style="736" customWidth="1"/>
    <col min="3844" max="3844" width="11" style="736" bestFit="1" customWidth="1"/>
    <col min="3845" max="3846" width="14" style="736" customWidth="1"/>
    <col min="3847" max="3847" width="7.81640625" style="736" customWidth="1"/>
    <col min="3848" max="3848" width="11.81640625" style="736" bestFit="1" customWidth="1"/>
    <col min="3849" max="3849" width="8.54296875" style="736" bestFit="1" customWidth="1"/>
    <col min="3850" max="3850" width="10" style="736" bestFit="1" customWidth="1"/>
    <col min="3851" max="3851" width="8.54296875" style="736" bestFit="1" customWidth="1"/>
    <col min="3852" max="3852" width="10.54296875" style="736" customWidth="1"/>
    <col min="3853" max="3853" width="7.54296875" style="736" bestFit="1" customWidth="1"/>
    <col min="3854" max="3854" width="8.54296875" style="736" bestFit="1" customWidth="1"/>
    <col min="3855" max="3855" width="2.54296875" style="736" customWidth="1"/>
    <col min="3856" max="3856" width="2.81640625" style="736" customWidth="1"/>
    <col min="3857" max="4074" width="9.1796875" style="736" customWidth="1"/>
    <col min="4075" max="4075" width="26.1796875" style="736" customWidth="1"/>
    <col min="4076" max="4076" width="9.81640625" style="736" customWidth="1"/>
    <col min="4077" max="4077" width="10.81640625" style="736" customWidth="1"/>
    <col min="4078" max="4078" width="9.1796875" style="736" customWidth="1"/>
    <col min="4079" max="4079" width="14.453125" style="736" customWidth="1"/>
    <col min="4080" max="4080" width="10.81640625" style="736" customWidth="1"/>
    <col min="4081" max="4081" width="8.54296875" style="736" customWidth="1"/>
    <col min="4082" max="4082" width="0" style="736" hidden="1" customWidth="1"/>
    <col min="4083" max="4083" width="8.54296875" style="736" customWidth="1"/>
    <col min="4084" max="4084" width="0" style="736" hidden="1" customWidth="1"/>
    <col min="4085" max="4085" width="8.54296875" style="736" customWidth="1"/>
    <col min="4086" max="4086" width="0" style="736" hidden="1" customWidth="1"/>
    <col min="4087" max="4087" width="8.54296875" style="736" customWidth="1"/>
    <col min="4088" max="4088" width="0" style="736" hidden="1" customWidth="1"/>
    <col min="4089" max="4089" width="8.54296875" style="736" customWidth="1"/>
    <col min="4090" max="4090" width="14.453125" style="736" customWidth="1"/>
    <col min="4091" max="4095" width="12.54296875" style="736"/>
    <col min="4096" max="4096" width="9.1796875" style="736" customWidth="1"/>
    <col min="4097" max="4097" width="41.81640625" style="736" customWidth="1"/>
    <col min="4098" max="4098" width="13.453125" style="736" bestFit="1" customWidth="1"/>
    <col min="4099" max="4099" width="13.54296875" style="736" customWidth="1"/>
    <col min="4100" max="4100" width="11" style="736" bestFit="1" customWidth="1"/>
    <col min="4101" max="4102" width="14" style="736" customWidth="1"/>
    <col min="4103" max="4103" width="7.81640625" style="736" customWidth="1"/>
    <col min="4104" max="4104" width="11.81640625" style="736" bestFit="1" customWidth="1"/>
    <col min="4105" max="4105" width="8.54296875" style="736" bestFit="1" customWidth="1"/>
    <col min="4106" max="4106" width="10" style="736" bestFit="1" customWidth="1"/>
    <col min="4107" max="4107" width="8.54296875" style="736" bestFit="1" customWidth="1"/>
    <col min="4108" max="4108" width="10.54296875" style="736" customWidth="1"/>
    <col min="4109" max="4109" width="7.54296875" style="736" bestFit="1" customWidth="1"/>
    <col min="4110" max="4110" width="8.54296875" style="736" bestFit="1" customWidth="1"/>
    <col min="4111" max="4111" width="2.54296875" style="736" customWidth="1"/>
    <col min="4112" max="4112" width="2.81640625" style="736" customWidth="1"/>
    <col min="4113" max="4330" width="9.1796875" style="736" customWidth="1"/>
    <col min="4331" max="4331" width="26.1796875" style="736" customWidth="1"/>
    <col min="4332" max="4332" width="9.81640625" style="736" customWidth="1"/>
    <col min="4333" max="4333" width="10.81640625" style="736" customWidth="1"/>
    <col min="4334" max="4334" width="9.1796875" style="736" customWidth="1"/>
    <col min="4335" max="4335" width="14.453125" style="736" customWidth="1"/>
    <col min="4336" max="4336" width="10.81640625" style="736" customWidth="1"/>
    <col min="4337" max="4337" width="8.54296875" style="736" customWidth="1"/>
    <col min="4338" max="4338" width="0" style="736" hidden="1" customWidth="1"/>
    <col min="4339" max="4339" width="8.54296875" style="736" customWidth="1"/>
    <col min="4340" max="4340" width="0" style="736" hidden="1" customWidth="1"/>
    <col min="4341" max="4341" width="8.54296875" style="736" customWidth="1"/>
    <col min="4342" max="4342" width="0" style="736" hidden="1" customWidth="1"/>
    <col min="4343" max="4343" width="8.54296875" style="736" customWidth="1"/>
    <col min="4344" max="4344" width="0" style="736" hidden="1" customWidth="1"/>
    <col min="4345" max="4345" width="8.54296875" style="736" customWidth="1"/>
    <col min="4346" max="4346" width="14.453125" style="736" customWidth="1"/>
    <col min="4347" max="4351" width="12.54296875" style="736"/>
    <col min="4352" max="4352" width="9.1796875" style="736" customWidth="1"/>
    <col min="4353" max="4353" width="41.81640625" style="736" customWidth="1"/>
    <col min="4354" max="4354" width="13.453125" style="736" bestFit="1" customWidth="1"/>
    <col min="4355" max="4355" width="13.54296875" style="736" customWidth="1"/>
    <col min="4356" max="4356" width="11" style="736" bestFit="1" customWidth="1"/>
    <col min="4357" max="4358" width="14" style="736" customWidth="1"/>
    <col min="4359" max="4359" width="7.81640625" style="736" customWidth="1"/>
    <col min="4360" max="4360" width="11.81640625" style="736" bestFit="1" customWidth="1"/>
    <col min="4361" max="4361" width="8.54296875" style="736" bestFit="1" customWidth="1"/>
    <col min="4362" max="4362" width="10" style="736" bestFit="1" customWidth="1"/>
    <col min="4363" max="4363" width="8.54296875" style="736" bestFit="1" customWidth="1"/>
    <col min="4364" max="4364" width="10.54296875" style="736" customWidth="1"/>
    <col min="4365" max="4365" width="7.54296875" style="736" bestFit="1" customWidth="1"/>
    <col min="4366" max="4366" width="8.54296875" style="736" bestFit="1" customWidth="1"/>
    <col min="4367" max="4367" width="2.54296875" style="736" customWidth="1"/>
    <col min="4368" max="4368" width="2.81640625" style="736" customWidth="1"/>
    <col min="4369" max="4586" width="9.1796875" style="736" customWidth="1"/>
    <col min="4587" max="4587" width="26.1796875" style="736" customWidth="1"/>
    <col min="4588" max="4588" width="9.81640625" style="736" customWidth="1"/>
    <col min="4589" max="4589" width="10.81640625" style="736" customWidth="1"/>
    <col min="4590" max="4590" width="9.1796875" style="736" customWidth="1"/>
    <col min="4591" max="4591" width="14.453125" style="736" customWidth="1"/>
    <col min="4592" max="4592" width="10.81640625" style="736" customWidth="1"/>
    <col min="4593" max="4593" width="8.54296875" style="736" customWidth="1"/>
    <col min="4594" max="4594" width="0" style="736" hidden="1" customWidth="1"/>
    <col min="4595" max="4595" width="8.54296875" style="736" customWidth="1"/>
    <col min="4596" max="4596" width="0" style="736" hidden="1" customWidth="1"/>
    <col min="4597" max="4597" width="8.54296875" style="736" customWidth="1"/>
    <col min="4598" max="4598" width="0" style="736" hidden="1" customWidth="1"/>
    <col min="4599" max="4599" width="8.54296875" style="736" customWidth="1"/>
    <col min="4600" max="4600" width="0" style="736" hidden="1" customWidth="1"/>
    <col min="4601" max="4601" width="8.54296875" style="736" customWidth="1"/>
    <col min="4602" max="4602" width="14.453125" style="736" customWidth="1"/>
    <col min="4603" max="4607" width="12.54296875" style="736"/>
    <col min="4608" max="4608" width="9.1796875" style="736" customWidth="1"/>
    <col min="4609" max="4609" width="41.81640625" style="736" customWidth="1"/>
    <col min="4610" max="4610" width="13.453125" style="736" bestFit="1" customWidth="1"/>
    <col min="4611" max="4611" width="13.54296875" style="736" customWidth="1"/>
    <col min="4612" max="4612" width="11" style="736" bestFit="1" customWidth="1"/>
    <col min="4613" max="4614" width="14" style="736" customWidth="1"/>
    <col min="4615" max="4615" width="7.81640625" style="736" customWidth="1"/>
    <col min="4616" max="4616" width="11.81640625" style="736" bestFit="1" customWidth="1"/>
    <col min="4617" max="4617" width="8.54296875" style="736" bestFit="1" customWidth="1"/>
    <col min="4618" max="4618" width="10" style="736" bestFit="1" customWidth="1"/>
    <col min="4619" max="4619" width="8.54296875" style="736" bestFit="1" customWidth="1"/>
    <col min="4620" max="4620" width="10.54296875" style="736" customWidth="1"/>
    <col min="4621" max="4621" width="7.54296875" style="736" bestFit="1" customWidth="1"/>
    <col min="4622" max="4622" width="8.54296875" style="736" bestFit="1" customWidth="1"/>
    <col min="4623" max="4623" width="2.54296875" style="736" customWidth="1"/>
    <col min="4624" max="4624" width="2.81640625" style="736" customWidth="1"/>
    <col min="4625" max="4842" width="9.1796875" style="736" customWidth="1"/>
    <col min="4843" max="4843" width="26.1796875" style="736" customWidth="1"/>
    <col min="4844" max="4844" width="9.81640625" style="736" customWidth="1"/>
    <col min="4845" max="4845" width="10.81640625" style="736" customWidth="1"/>
    <col min="4846" max="4846" width="9.1796875" style="736" customWidth="1"/>
    <col min="4847" max="4847" width="14.453125" style="736" customWidth="1"/>
    <col min="4848" max="4848" width="10.81640625" style="736" customWidth="1"/>
    <col min="4849" max="4849" width="8.54296875" style="736" customWidth="1"/>
    <col min="4850" max="4850" width="0" style="736" hidden="1" customWidth="1"/>
    <col min="4851" max="4851" width="8.54296875" style="736" customWidth="1"/>
    <col min="4852" max="4852" width="0" style="736" hidden="1" customWidth="1"/>
    <col min="4853" max="4853" width="8.54296875" style="736" customWidth="1"/>
    <col min="4854" max="4854" width="0" style="736" hidden="1" customWidth="1"/>
    <col min="4855" max="4855" width="8.54296875" style="736" customWidth="1"/>
    <col min="4856" max="4856" width="0" style="736" hidden="1" customWidth="1"/>
    <col min="4857" max="4857" width="8.54296875" style="736" customWidth="1"/>
    <col min="4858" max="4858" width="14.453125" style="736" customWidth="1"/>
    <col min="4859" max="4863" width="12.54296875" style="736"/>
    <col min="4864" max="4864" width="9.1796875" style="736" customWidth="1"/>
    <col min="4865" max="4865" width="41.81640625" style="736" customWidth="1"/>
    <col min="4866" max="4866" width="13.453125" style="736" bestFit="1" customWidth="1"/>
    <col min="4867" max="4867" width="13.54296875" style="736" customWidth="1"/>
    <col min="4868" max="4868" width="11" style="736" bestFit="1" customWidth="1"/>
    <col min="4869" max="4870" width="14" style="736" customWidth="1"/>
    <col min="4871" max="4871" width="7.81640625" style="736" customWidth="1"/>
    <col min="4872" max="4872" width="11.81640625" style="736" bestFit="1" customWidth="1"/>
    <col min="4873" max="4873" width="8.54296875" style="736" bestFit="1" customWidth="1"/>
    <col min="4874" max="4874" width="10" style="736" bestFit="1" customWidth="1"/>
    <col min="4875" max="4875" width="8.54296875" style="736" bestFit="1" customWidth="1"/>
    <col min="4876" max="4876" width="10.54296875" style="736" customWidth="1"/>
    <col min="4877" max="4877" width="7.54296875" style="736" bestFit="1" customWidth="1"/>
    <col min="4878" max="4878" width="8.54296875" style="736" bestFit="1" customWidth="1"/>
    <col min="4879" max="4879" width="2.54296875" style="736" customWidth="1"/>
    <col min="4880" max="4880" width="2.81640625" style="736" customWidth="1"/>
    <col min="4881" max="5098" width="9.1796875" style="736" customWidth="1"/>
    <col min="5099" max="5099" width="26.1796875" style="736" customWidth="1"/>
    <col min="5100" max="5100" width="9.81640625" style="736" customWidth="1"/>
    <col min="5101" max="5101" width="10.81640625" style="736" customWidth="1"/>
    <col min="5102" max="5102" width="9.1796875" style="736" customWidth="1"/>
    <col min="5103" max="5103" width="14.453125" style="736" customWidth="1"/>
    <col min="5104" max="5104" width="10.81640625" style="736" customWidth="1"/>
    <col min="5105" max="5105" width="8.54296875" style="736" customWidth="1"/>
    <col min="5106" max="5106" width="0" style="736" hidden="1" customWidth="1"/>
    <col min="5107" max="5107" width="8.54296875" style="736" customWidth="1"/>
    <col min="5108" max="5108" width="0" style="736" hidden="1" customWidth="1"/>
    <col min="5109" max="5109" width="8.54296875" style="736" customWidth="1"/>
    <col min="5110" max="5110" width="0" style="736" hidden="1" customWidth="1"/>
    <col min="5111" max="5111" width="8.54296875" style="736" customWidth="1"/>
    <col min="5112" max="5112" width="0" style="736" hidden="1" customWidth="1"/>
    <col min="5113" max="5113" width="8.54296875" style="736" customWidth="1"/>
    <col min="5114" max="5114" width="14.453125" style="736" customWidth="1"/>
    <col min="5115" max="5119" width="12.54296875" style="736"/>
    <col min="5120" max="5120" width="9.1796875" style="736" customWidth="1"/>
    <col min="5121" max="5121" width="41.81640625" style="736" customWidth="1"/>
    <col min="5122" max="5122" width="13.453125" style="736" bestFit="1" customWidth="1"/>
    <col min="5123" max="5123" width="13.54296875" style="736" customWidth="1"/>
    <col min="5124" max="5124" width="11" style="736" bestFit="1" customWidth="1"/>
    <col min="5125" max="5126" width="14" style="736" customWidth="1"/>
    <col min="5127" max="5127" width="7.81640625" style="736" customWidth="1"/>
    <col min="5128" max="5128" width="11.81640625" style="736" bestFit="1" customWidth="1"/>
    <col min="5129" max="5129" width="8.54296875" style="736" bestFit="1" customWidth="1"/>
    <col min="5130" max="5130" width="10" style="736" bestFit="1" customWidth="1"/>
    <col min="5131" max="5131" width="8.54296875" style="736" bestFit="1" customWidth="1"/>
    <col min="5132" max="5132" width="10.54296875" style="736" customWidth="1"/>
    <col min="5133" max="5133" width="7.54296875" style="736" bestFit="1" customWidth="1"/>
    <col min="5134" max="5134" width="8.54296875" style="736" bestFit="1" customWidth="1"/>
    <col min="5135" max="5135" width="2.54296875" style="736" customWidth="1"/>
    <col min="5136" max="5136" width="2.81640625" style="736" customWidth="1"/>
    <col min="5137" max="5354" width="9.1796875" style="736" customWidth="1"/>
    <col min="5355" max="5355" width="26.1796875" style="736" customWidth="1"/>
    <col min="5356" max="5356" width="9.81640625" style="736" customWidth="1"/>
    <col min="5357" max="5357" width="10.81640625" style="736" customWidth="1"/>
    <col min="5358" max="5358" width="9.1796875" style="736" customWidth="1"/>
    <col min="5359" max="5359" width="14.453125" style="736" customWidth="1"/>
    <col min="5360" max="5360" width="10.81640625" style="736" customWidth="1"/>
    <col min="5361" max="5361" width="8.54296875" style="736" customWidth="1"/>
    <col min="5362" max="5362" width="0" style="736" hidden="1" customWidth="1"/>
    <col min="5363" max="5363" width="8.54296875" style="736" customWidth="1"/>
    <col min="5364" max="5364" width="0" style="736" hidden="1" customWidth="1"/>
    <col min="5365" max="5365" width="8.54296875" style="736" customWidth="1"/>
    <col min="5366" max="5366" width="0" style="736" hidden="1" customWidth="1"/>
    <col min="5367" max="5367" width="8.54296875" style="736" customWidth="1"/>
    <col min="5368" max="5368" width="0" style="736" hidden="1" customWidth="1"/>
    <col min="5369" max="5369" width="8.54296875" style="736" customWidth="1"/>
    <col min="5370" max="5370" width="14.453125" style="736" customWidth="1"/>
    <col min="5371" max="5375" width="12.54296875" style="736"/>
    <col min="5376" max="5376" width="9.1796875" style="736" customWidth="1"/>
    <col min="5377" max="5377" width="41.81640625" style="736" customWidth="1"/>
    <col min="5378" max="5378" width="13.453125" style="736" bestFit="1" customWidth="1"/>
    <col min="5379" max="5379" width="13.54296875" style="736" customWidth="1"/>
    <col min="5380" max="5380" width="11" style="736" bestFit="1" customWidth="1"/>
    <col min="5381" max="5382" width="14" style="736" customWidth="1"/>
    <col min="5383" max="5383" width="7.81640625" style="736" customWidth="1"/>
    <col min="5384" max="5384" width="11.81640625" style="736" bestFit="1" customWidth="1"/>
    <col min="5385" max="5385" width="8.54296875" style="736" bestFit="1" customWidth="1"/>
    <col min="5386" max="5386" width="10" style="736" bestFit="1" customWidth="1"/>
    <col min="5387" max="5387" width="8.54296875" style="736" bestFit="1" customWidth="1"/>
    <col min="5388" max="5388" width="10.54296875" style="736" customWidth="1"/>
    <col min="5389" max="5389" width="7.54296875" style="736" bestFit="1" customWidth="1"/>
    <col min="5390" max="5390" width="8.54296875" style="736" bestFit="1" customWidth="1"/>
    <col min="5391" max="5391" width="2.54296875" style="736" customWidth="1"/>
    <col min="5392" max="5392" width="2.81640625" style="736" customWidth="1"/>
    <col min="5393" max="5610" width="9.1796875" style="736" customWidth="1"/>
    <col min="5611" max="5611" width="26.1796875" style="736" customWidth="1"/>
    <col min="5612" max="5612" width="9.81640625" style="736" customWidth="1"/>
    <col min="5613" max="5613" width="10.81640625" style="736" customWidth="1"/>
    <col min="5614" max="5614" width="9.1796875" style="736" customWidth="1"/>
    <col min="5615" max="5615" width="14.453125" style="736" customWidth="1"/>
    <col min="5616" max="5616" width="10.81640625" style="736" customWidth="1"/>
    <col min="5617" max="5617" width="8.54296875" style="736" customWidth="1"/>
    <col min="5618" max="5618" width="0" style="736" hidden="1" customWidth="1"/>
    <col min="5619" max="5619" width="8.54296875" style="736" customWidth="1"/>
    <col min="5620" max="5620" width="0" style="736" hidden="1" customWidth="1"/>
    <col min="5621" max="5621" width="8.54296875" style="736" customWidth="1"/>
    <col min="5622" max="5622" width="0" style="736" hidden="1" customWidth="1"/>
    <col min="5623" max="5623" width="8.54296875" style="736" customWidth="1"/>
    <col min="5624" max="5624" width="0" style="736" hidden="1" customWidth="1"/>
    <col min="5625" max="5625" width="8.54296875" style="736" customWidth="1"/>
    <col min="5626" max="5626" width="14.453125" style="736" customWidth="1"/>
    <col min="5627" max="5631" width="12.54296875" style="736"/>
    <col min="5632" max="5632" width="9.1796875" style="736" customWidth="1"/>
    <col min="5633" max="5633" width="41.81640625" style="736" customWidth="1"/>
    <col min="5634" max="5634" width="13.453125" style="736" bestFit="1" customWidth="1"/>
    <col min="5635" max="5635" width="13.54296875" style="736" customWidth="1"/>
    <col min="5636" max="5636" width="11" style="736" bestFit="1" customWidth="1"/>
    <col min="5637" max="5638" width="14" style="736" customWidth="1"/>
    <col min="5639" max="5639" width="7.81640625" style="736" customWidth="1"/>
    <col min="5640" max="5640" width="11.81640625" style="736" bestFit="1" customWidth="1"/>
    <col min="5641" max="5641" width="8.54296875" style="736" bestFit="1" customWidth="1"/>
    <col min="5642" max="5642" width="10" style="736" bestFit="1" customWidth="1"/>
    <col min="5643" max="5643" width="8.54296875" style="736" bestFit="1" customWidth="1"/>
    <col min="5644" max="5644" width="10.54296875" style="736" customWidth="1"/>
    <col min="5645" max="5645" width="7.54296875" style="736" bestFit="1" customWidth="1"/>
    <col min="5646" max="5646" width="8.54296875" style="736" bestFit="1" customWidth="1"/>
    <col min="5647" max="5647" width="2.54296875" style="736" customWidth="1"/>
    <col min="5648" max="5648" width="2.81640625" style="736" customWidth="1"/>
    <col min="5649" max="5866" width="9.1796875" style="736" customWidth="1"/>
    <col min="5867" max="5867" width="26.1796875" style="736" customWidth="1"/>
    <col min="5868" max="5868" width="9.81640625" style="736" customWidth="1"/>
    <col min="5869" max="5869" width="10.81640625" style="736" customWidth="1"/>
    <col min="5870" max="5870" width="9.1796875" style="736" customWidth="1"/>
    <col min="5871" max="5871" width="14.453125" style="736" customWidth="1"/>
    <col min="5872" max="5872" width="10.81640625" style="736" customWidth="1"/>
    <col min="5873" max="5873" width="8.54296875" style="736" customWidth="1"/>
    <col min="5874" max="5874" width="0" style="736" hidden="1" customWidth="1"/>
    <col min="5875" max="5875" width="8.54296875" style="736" customWidth="1"/>
    <col min="5876" max="5876" width="0" style="736" hidden="1" customWidth="1"/>
    <col min="5877" max="5877" width="8.54296875" style="736" customWidth="1"/>
    <col min="5878" max="5878" width="0" style="736" hidden="1" customWidth="1"/>
    <col min="5879" max="5879" width="8.54296875" style="736" customWidth="1"/>
    <col min="5880" max="5880" width="0" style="736" hidden="1" customWidth="1"/>
    <col min="5881" max="5881" width="8.54296875" style="736" customWidth="1"/>
    <col min="5882" max="5882" width="14.453125" style="736" customWidth="1"/>
    <col min="5883" max="5887" width="12.54296875" style="736"/>
    <col min="5888" max="5888" width="9.1796875" style="736" customWidth="1"/>
    <col min="5889" max="5889" width="41.81640625" style="736" customWidth="1"/>
    <col min="5890" max="5890" width="13.453125" style="736" bestFit="1" customWidth="1"/>
    <col min="5891" max="5891" width="13.54296875" style="736" customWidth="1"/>
    <col min="5892" max="5892" width="11" style="736" bestFit="1" customWidth="1"/>
    <col min="5893" max="5894" width="14" style="736" customWidth="1"/>
    <col min="5895" max="5895" width="7.81640625" style="736" customWidth="1"/>
    <col min="5896" max="5896" width="11.81640625" style="736" bestFit="1" customWidth="1"/>
    <col min="5897" max="5897" width="8.54296875" style="736" bestFit="1" customWidth="1"/>
    <col min="5898" max="5898" width="10" style="736" bestFit="1" customWidth="1"/>
    <col min="5899" max="5899" width="8.54296875" style="736" bestFit="1" customWidth="1"/>
    <col min="5900" max="5900" width="10.54296875" style="736" customWidth="1"/>
    <col min="5901" max="5901" width="7.54296875" style="736" bestFit="1" customWidth="1"/>
    <col min="5902" max="5902" width="8.54296875" style="736" bestFit="1" customWidth="1"/>
    <col min="5903" max="5903" width="2.54296875" style="736" customWidth="1"/>
    <col min="5904" max="5904" width="2.81640625" style="736" customWidth="1"/>
    <col min="5905" max="6122" width="9.1796875" style="736" customWidth="1"/>
    <col min="6123" max="6123" width="26.1796875" style="736" customWidth="1"/>
    <col min="6124" max="6124" width="9.81640625" style="736" customWidth="1"/>
    <col min="6125" max="6125" width="10.81640625" style="736" customWidth="1"/>
    <col min="6126" max="6126" width="9.1796875" style="736" customWidth="1"/>
    <col min="6127" max="6127" width="14.453125" style="736" customWidth="1"/>
    <col min="6128" max="6128" width="10.81640625" style="736" customWidth="1"/>
    <col min="6129" max="6129" width="8.54296875" style="736" customWidth="1"/>
    <col min="6130" max="6130" width="0" style="736" hidden="1" customWidth="1"/>
    <col min="6131" max="6131" width="8.54296875" style="736" customWidth="1"/>
    <col min="6132" max="6132" width="0" style="736" hidden="1" customWidth="1"/>
    <col min="6133" max="6133" width="8.54296875" style="736" customWidth="1"/>
    <col min="6134" max="6134" width="0" style="736" hidden="1" customWidth="1"/>
    <col min="6135" max="6135" width="8.54296875" style="736" customWidth="1"/>
    <col min="6136" max="6136" width="0" style="736" hidden="1" customWidth="1"/>
    <col min="6137" max="6137" width="8.54296875" style="736" customWidth="1"/>
    <col min="6138" max="6138" width="14.453125" style="736" customWidth="1"/>
    <col min="6139" max="6143" width="12.54296875" style="736"/>
    <col min="6144" max="6144" width="9.1796875" style="736" customWidth="1"/>
    <col min="6145" max="6145" width="41.81640625" style="736" customWidth="1"/>
    <col min="6146" max="6146" width="13.453125" style="736" bestFit="1" customWidth="1"/>
    <col min="6147" max="6147" width="13.54296875" style="736" customWidth="1"/>
    <col min="6148" max="6148" width="11" style="736" bestFit="1" customWidth="1"/>
    <col min="6149" max="6150" width="14" style="736" customWidth="1"/>
    <col min="6151" max="6151" width="7.81640625" style="736" customWidth="1"/>
    <col min="6152" max="6152" width="11.81640625" style="736" bestFit="1" customWidth="1"/>
    <col min="6153" max="6153" width="8.54296875" style="736" bestFit="1" customWidth="1"/>
    <col min="6154" max="6154" width="10" style="736" bestFit="1" customWidth="1"/>
    <col min="6155" max="6155" width="8.54296875" style="736" bestFit="1" customWidth="1"/>
    <col min="6156" max="6156" width="10.54296875" style="736" customWidth="1"/>
    <col min="6157" max="6157" width="7.54296875" style="736" bestFit="1" customWidth="1"/>
    <col min="6158" max="6158" width="8.54296875" style="736" bestFit="1" customWidth="1"/>
    <col min="6159" max="6159" width="2.54296875" style="736" customWidth="1"/>
    <col min="6160" max="6160" width="2.81640625" style="736" customWidth="1"/>
    <col min="6161" max="6378" width="9.1796875" style="736" customWidth="1"/>
    <col min="6379" max="6379" width="26.1796875" style="736" customWidth="1"/>
    <col min="6380" max="6380" width="9.81640625" style="736" customWidth="1"/>
    <col min="6381" max="6381" width="10.81640625" style="736" customWidth="1"/>
    <col min="6382" max="6382" width="9.1796875" style="736" customWidth="1"/>
    <col min="6383" max="6383" width="14.453125" style="736" customWidth="1"/>
    <col min="6384" max="6384" width="10.81640625" style="736" customWidth="1"/>
    <col min="6385" max="6385" width="8.54296875" style="736" customWidth="1"/>
    <col min="6386" max="6386" width="0" style="736" hidden="1" customWidth="1"/>
    <col min="6387" max="6387" width="8.54296875" style="736" customWidth="1"/>
    <col min="6388" max="6388" width="0" style="736" hidden="1" customWidth="1"/>
    <col min="6389" max="6389" width="8.54296875" style="736" customWidth="1"/>
    <col min="6390" max="6390" width="0" style="736" hidden="1" customWidth="1"/>
    <col min="6391" max="6391" width="8.54296875" style="736" customWidth="1"/>
    <col min="6392" max="6392" width="0" style="736" hidden="1" customWidth="1"/>
    <col min="6393" max="6393" width="8.54296875" style="736" customWidth="1"/>
    <col min="6394" max="6394" width="14.453125" style="736" customWidth="1"/>
    <col min="6395" max="6399" width="12.54296875" style="736"/>
    <col min="6400" max="6400" width="9.1796875" style="736" customWidth="1"/>
    <col min="6401" max="6401" width="41.81640625" style="736" customWidth="1"/>
    <col min="6402" max="6402" width="13.453125" style="736" bestFit="1" customWidth="1"/>
    <col min="6403" max="6403" width="13.54296875" style="736" customWidth="1"/>
    <col min="6404" max="6404" width="11" style="736" bestFit="1" customWidth="1"/>
    <col min="6405" max="6406" width="14" style="736" customWidth="1"/>
    <col min="6407" max="6407" width="7.81640625" style="736" customWidth="1"/>
    <col min="6408" max="6408" width="11.81640625" style="736" bestFit="1" customWidth="1"/>
    <col min="6409" max="6409" width="8.54296875" style="736" bestFit="1" customWidth="1"/>
    <col min="6410" max="6410" width="10" style="736" bestFit="1" customWidth="1"/>
    <col min="6411" max="6411" width="8.54296875" style="736" bestFit="1" customWidth="1"/>
    <col min="6412" max="6412" width="10.54296875" style="736" customWidth="1"/>
    <col min="6413" max="6413" width="7.54296875" style="736" bestFit="1" customWidth="1"/>
    <col min="6414" max="6414" width="8.54296875" style="736" bestFit="1" customWidth="1"/>
    <col min="6415" max="6415" width="2.54296875" style="736" customWidth="1"/>
    <col min="6416" max="6416" width="2.81640625" style="736" customWidth="1"/>
    <col min="6417" max="6634" width="9.1796875" style="736" customWidth="1"/>
    <col min="6635" max="6635" width="26.1796875" style="736" customWidth="1"/>
    <col min="6636" max="6636" width="9.81640625" style="736" customWidth="1"/>
    <col min="6637" max="6637" width="10.81640625" style="736" customWidth="1"/>
    <col min="6638" max="6638" width="9.1796875" style="736" customWidth="1"/>
    <col min="6639" max="6639" width="14.453125" style="736" customWidth="1"/>
    <col min="6640" max="6640" width="10.81640625" style="736" customWidth="1"/>
    <col min="6641" max="6641" width="8.54296875" style="736" customWidth="1"/>
    <col min="6642" max="6642" width="0" style="736" hidden="1" customWidth="1"/>
    <col min="6643" max="6643" width="8.54296875" style="736" customWidth="1"/>
    <col min="6644" max="6644" width="0" style="736" hidden="1" customWidth="1"/>
    <col min="6645" max="6645" width="8.54296875" style="736" customWidth="1"/>
    <col min="6646" max="6646" width="0" style="736" hidden="1" customWidth="1"/>
    <col min="6647" max="6647" width="8.54296875" style="736" customWidth="1"/>
    <col min="6648" max="6648" width="0" style="736" hidden="1" customWidth="1"/>
    <col min="6649" max="6649" width="8.54296875" style="736" customWidth="1"/>
    <col min="6650" max="6650" width="14.453125" style="736" customWidth="1"/>
    <col min="6651" max="6655" width="12.54296875" style="736"/>
    <col min="6656" max="6656" width="9.1796875" style="736" customWidth="1"/>
    <col min="6657" max="6657" width="41.81640625" style="736" customWidth="1"/>
    <col min="6658" max="6658" width="13.453125" style="736" bestFit="1" customWidth="1"/>
    <col min="6659" max="6659" width="13.54296875" style="736" customWidth="1"/>
    <col min="6660" max="6660" width="11" style="736" bestFit="1" customWidth="1"/>
    <col min="6661" max="6662" width="14" style="736" customWidth="1"/>
    <col min="6663" max="6663" width="7.81640625" style="736" customWidth="1"/>
    <col min="6664" max="6664" width="11.81640625" style="736" bestFit="1" customWidth="1"/>
    <col min="6665" max="6665" width="8.54296875" style="736" bestFit="1" customWidth="1"/>
    <col min="6666" max="6666" width="10" style="736" bestFit="1" customWidth="1"/>
    <col min="6667" max="6667" width="8.54296875" style="736" bestFit="1" customWidth="1"/>
    <col min="6668" max="6668" width="10.54296875" style="736" customWidth="1"/>
    <col min="6669" max="6669" width="7.54296875" style="736" bestFit="1" customWidth="1"/>
    <col min="6670" max="6670" width="8.54296875" style="736" bestFit="1" customWidth="1"/>
    <col min="6671" max="6671" width="2.54296875" style="736" customWidth="1"/>
    <col min="6672" max="6672" width="2.81640625" style="736" customWidth="1"/>
    <col min="6673" max="6890" width="9.1796875" style="736" customWidth="1"/>
    <col min="6891" max="6891" width="26.1796875" style="736" customWidth="1"/>
    <col min="6892" max="6892" width="9.81640625" style="736" customWidth="1"/>
    <col min="6893" max="6893" width="10.81640625" style="736" customWidth="1"/>
    <col min="6894" max="6894" width="9.1796875" style="736" customWidth="1"/>
    <col min="6895" max="6895" width="14.453125" style="736" customWidth="1"/>
    <col min="6896" max="6896" width="10.81640625" style="736" customWidth="1"/>
    <col min="6897" max="6897" width="8.54296875" style="736" customWidth="1"/>
    <col min="6898" max="6898" width="0" style="736" hidden="1" customWidth="1"/>
    <col min="6899" max="6899" width="8.54296875" style="736" customWidth="1"/>
    <col min="6900" max="6900" width="0" style="736" hidden="1" customWidth="1"/>
    <col min="6901" max="6901" width="8.54296875" style="736" customWidth="1"/>
    <col min="6902" max="6902" width="0" style="736" hidden="1" customWidth="1"/>
    <col min="6903" max="6903" width="8.54296875" style="736" customWidth="1"/>
    <col min="6904" max="6904" width="0" style="736" hidden="1" customWidth="1"/>
    <col min="6905" max="6905" width="8.54296875" style="736" customWidth="1"/>
    <col min="6906" max="6906" width="14.453125" style="736" customWidth="1"/>
    <col min="6907" max="6911" width="12.54296875" style="736"/>
    <col min="6912" max="6912" width="9.1796875" style="736" customWidth="1"/>
    <col min="6913" max="6913" width="41.81640625" style="736" customWidth="1"/>
    <col min="6914" max="6914" width="13.453125" style="736" bestFit="1" customWidth="1"/>
    <col min="6915" max="6915" width="13.54296875" style="736" customWidth="1"/>
    <col min="6916" max="6916" width="11" style="736" bestFit="1" customWidth="1"/>
    <col min="6917" max="6918" width="14" style="736" customWidth="1"/>
    <col min="6919" max="6919" width="7.81640625" style="736" customWidth="1"/>
    <col min="6920" max="6920" width="11.81640625" style="736" bestFit="1" customWidth="1"/>
    <col min="6921" max="6921" width="8.54296875" style="736" bestFit="1" customWidth="1"/>
    <col min="6922" max="6922" width="10" style="736" bestFit="1" customWidth="1"/>
    <col min="6923" max="6923" width="8.54296875" style="736" bestFit="1" customWidth="1"/>
    <col min="6924" max="6924" width="10.54296875" style="736" customWidth="1"/>
    <col min="6925" max="6925" width="7.54296875" style="736" bestFit="1" customWidth="1"/>
    <col min="6926" max="6926" width="8.54296875" style="736" bestFit="1" customWidth="1"/>
    <col min="6927" max="6927" width="2.54296875" style="736" customWidth="1"/>
    <col min="6928" max="6928" width="2.81640625" style="736" customWidth="1"/>
    <col min="6929" max="7146" width="9.1796875" style="736" customWidth="1"/>
    <col min="7147" max="7147" width="26.1796875" style="736" customWidth="1"/>
    <col min="7148" max="7148" width="9.81640625" style="736" customWidth="1"/>
    <col min="7149" max="7149" width="10.81640625" style="736" customWidth="1"/>
    <col min="7150" max="7150" width="9.1796875" style="736" customWidth="1"/>
    <col min="7151" max="7151" width="14.453125" style="736" customWidth="1"/>
    <col min="7152" max="7152" width="10.81640625" style="736" customWidth="1"/>
    <col min="7153" max="7153" width="8.54296875" style="736" customWidth="1"/>
    <col min="7154" max="7154" width="0" style="736" hidden="1" customWidth="1"/>
    <col min="7155" max="7155" width="8.54296875" style="736" customWidth="1"/>
    <col min="7156" max="7156" width="0" style="736" hidden="1" customWidth="1"/>
    <col min="7157" max="7157" width="8.54296875" style="736" customWidth="1"/>
    <col min="7158" max="7158" width="0" style="736" hidden="1" customWidth="1"/>
    <col min="7159" max="7159" width="8.54296875" style="736" customWidth="1"/>
    <col min="7160" max="7160" width="0" style="736" hidden="1" customWidth="1"/>
    <col min="7161" max="7161" width="8.54296875" style="736" customWidth="1"/>
    <col min="7162" max="7162" width="14.453125" style="736" customWidth="1"/>
    <col min="7163" max="7167" width="12.54296875" style="736"/>
    <col min="7168" max="7168" width="9.1796875" style="736" customWidth="1"/>
    <col min="7169" max="7169" width="41.81640625" style="736" customWidth="1"/>
    <col min="7170" max="7170" width="13.453125" style="736" bestFit="1" customWidth="1"/>
    <col min="7171" max="7171" width="13.54296875" style="736" customWidth="1"/>
    <col min="7172" max="7172" width="11" style="736" bestFit="1" customWidth="1"/>
    <col min="7173" max="7174" width="14" style="736" customWidth="1"/>
    <col min="7175" max="7175" width="7.81640625" style="736" customWidth="1"/>
    <col min="7176" max="7176" width="11.81640625" style="736" bestFit="1" customWidth="1"/>
    <col min="7177" max="7177" width="8.54296875" style="736" bestFit="1" customWidth="1"/>
    <col min="7178" max="7178" width="10" style="736" bestFit="1" customWidth="1"/>
    <col min="7179" max="7179" width="8.54296875" style="736" bestFit="1" customWidth="1"/>
    <col min="7180" max="7180" width="10.54296875" style="736" customWidth="1"/>
    <col min="7181" max="7181" width="7.54296875" style="736" bestFit="1" customWidth="1"/>
    <col min="7182" max="7182" width="8.54296875" style="736" bestFit="1" customWidth="1"/>
    <col min="7183" max="7183" width="2.54296875" style="736" customWidth="1"/>
    <col min="7184" max="7184" width="2.81640625" style="736" customWidth="1"/>
    <col min="7185" max="7402" width="9.1796875" style="736" customWidth="1"/>
    <col min="7403" max="7403" width="26.1796875" style="736" customWidth="1"/>
    <col min="7404" max="7404" width="9.81640625" style="736" customWidth="1"/>
    <col min="7405" max="7405" width="10.81640625" style="736" customWidth="1"/>
    <col min="7406" max="7406" width="9.1796875" style="736" customWidth="1"/>
    <col min="7407" max="7407" width="14.453125" style="736" customWidth="1"/>
    <col min="7408" max="7408" width="10.81640625" style="736" customWidth="1"/>
    <col min="7409" max="7409" width="8.54296875" style="736" customWidth="1"/>
    <col min="7410" max="7410" width="0" style="736" hidden="1" customWidth="1"/>
    <col min="7411" max="7411" width="8.54296875" style="736" customWidth="1"/>
    <col min="7412" max="7412" width="0" style="736" hidden="1" customWidth="1"/>
    <col min="7413" max="7413" width="8.54296875" style="736" customWidth="1"/>
    <col min="7414" max="7414" width="0" style="736" hidden="1" customWidth="1"/>
    <col min="7415" max="7415" width="8.54296875" style="736" customWidth="1"/>
    <col min="7416" max="7416" width="0" style="736" hidden="1" customWidth="1"/>
    <col min="7417" max="7417" width="8.54296875" style="736" customWidth="1"/>
    <col min="7418" max="7418" width="14.453125" style="736" customWidth="1"/>
    <col min="7419" max="7423" width="12.54296875" style="736"/>
    <col min="7424" max="7424" width="9.1796875" style="736" customWidth="1"/>
    <col min="7425" max="7425" width="41.81640625" style="736" customWidth="1"/>
    <col min="7426" max="7426" width="13.453125" style="736" bestFit="1" customWidth="1"/>
    <col min="7427" max="7427" width="13.54296875" style="736" customWidth="1"/>
    <col min="7428" max="7428" width="11" style="736" bestFit="1" customWidth="1"/>
    <col min="7429" max="7430" width="14" style="736" customWidth="1"/>
    <col min="7431" max="7431" width="7.81640625" style="736" customWidth="1"/>
    <col min="7432" max="7432" width="11.81640625" style="736" bestFit="1" customWidth="1"/>
    <col min="7433" max="7433" width="8.54296875" style="736" bestFit="1" customWidth="1"/>
    <col min="7434" max="7434" width="10" style="736" bestFit="1" customWidth="1"/>
    <col min="7435" max="7435" width="8.54296875" style="736" bestFit="1" customWidth="1"/>
    <col min="7436" max="7436" width="10.54296875" style="736" customWidth="1"/>
    <col min="7437" max="7437" width="7.54296875" style="736" bestFit="1" customWidth="1"/>
    <col min="7438" max="7438" width="8.54296875" style="736" bestFit="1" customWidth="1"/>
    <col min="7439" max="7439" width="2.54296875" style="736" customWidth="1"/>
    <col min="7440" max="7440" width="2.81640625" style="736" customWidth="1"/>
    <col min="7441" max="7658" width="9.1796875" style="736" customWidth="1"/>
    <col min="7659" max="7659" width="26.1796875" style="736" customWidth="1"/>
    <col min="7660" max="7660" width="9.81640625" style="736" customWidth="1"/>
    <col min="7661" max="7661" width="10.81640625" style="736" customWidth="1"/>
    <col min="7662" max="7662" width="9.1796875" style="736" customWidth="1"/>
    <col min="7663" max="7663" width="14.453125" style="736" customWidth="1"/>
    <col min="7664" max="7664" width="10.81640625" style="736" customWidth="1"/>
    <col min="7665" max="7665" width="8.54296875" style="736" customWidth="1"/>
    <col min="7666" max="7666" width="0" style="736" hidden="1" customWidth="1"/>
    <col min="7667" max="7667" width="8.54296875" style="736" customWidth="1"/>
    <col min="7668" max="7668" width="0" style="736" hidden="1" customWidth="1"/>
    <col min="7669" max="7669" width="8.54296875" style="736" customWidth="1"/>
    <col min="7670" max="7670" width="0" style="736" hidden="1" customWidth="1"/>
    <col min="7671" max="7671" width="8.54296875" style="736" customWidth="1"/>
    <col min="7672" max="7672" width="0" style="736" hidden="1" customWidth="1"/>
    <col min="7673" max="7673" width="8.54296875" style="736" customWidth="1"/>
    <col min="7674" max="7674" width="14.453125" style="736" customWidth="1"/>
    <col min="7675" max="7679" width="12.54296875" style="736"/>
    <col min="7680" max="7680" width="9.1796875" style="736" customWidth="1"/>
    <col min="7681" max="7681" width="41.81640625" style="736" customWidth="1"/>
    <col min="7682" max="7682" width="13.453125" style="736" bestFit="1" customWidth="1"/>
    <col min="7683" max="7683" width="13.54296875" style="736" customWidth="1"/>
    <col min="7684" max="7684" width="11" style="736" bestFit="1" customWidth="1"/>
    <col min="7685" max="7686" width="14" style="736" customWidth="1"/>
    <col min="7687" max="7687" width="7.81640625" style="736" customWidth="1"/>
    <col min="7688" max="7688" width="11.81640625" style="736" bestFit="1" customWidth="1"/>
    <col min="7689" max="7689" width="8.54296875" style="736" bestFit="1" customWidth="1"/>
    <col min="7690" max="7690" width="10" style="736" bestFit="1" customWidth="1"/>
    <col min="7691" max="7691" width="8.54296875" style="736" bestFit="1" customWidth="1"/>
    <col min="7692" max="7692" width="10.54296875" style="736" customWidth="1"/>
    <col min="7693" max="7693" width="7.54296875" style="736" bestFit="1" customWidth="1"/>
    <col min="7694" max="7694" width="8.54296875" style="736" bestFit="1" customWidth="1"/>
    <col min="7695" max="7695" width="2.54296875" style="736" customWidth="1"/>
    <col min="7696" max="7696" width="2.81640625" style="736" customWidth="1"/>
    <col min="7697" max="7914" width="9.1796875" style="736" customWidth="1"/>
    <col min="7915" max="7915" width="26.1796875" style="736" customWidth="1"/>
    <col min="7916" max="7916" width="9.81640625" style="736" customWidth="1"/>
    <col min="7917" max="7917" width="10.81640625" style="736" customWidth="1"/>
    <col min="7918" max="7918" width="9.1796875" style="736" customWidth="1"/>
    <col min="7919" max="7919" width="14.453125" style="736" customWidth="1"/>
    <col min="7920" max="7920" width="10.81640625" style="736" customWidth="1"/>
    <col min="7921" max="7921" width="8.54296875" style="736" customWidth="1"/>
    <col min="7922" max="7922" width="0" style="736" hidden="1" customWidth="1"/>
    <col min="7923" max="7923" width="8.54296875" style="736" customWidth="1"/>
    <col min="7924" max="7924" width="0" style="736" hidden="1" customWidth="1"/>
    <col min="7925" max="7925" width="8.54296875" style="736" customWidth="1"/>
    <col min="7926" max="7926" width="0" style="736" hidden="1" customWidth="1"/>
    <col min="7927" max="7927" width="8.54296875" style="736" customWidth="1"/>
    <col min="7928" max="7928" width="0" style="736" hidden="1" customWidth="1"/>
    <col min="7929" max="7929" width="8.54296875" style="736" customWidth="1"/>
    <col min="7930" max="7930" width="14.453125" style="736" customWidth="1"/>
    <col min="7931" max="7935" width="12.54296875" style="736"/>
    <col min="7936" max="7936" width="9.1796875" style="736" customWidth="1"/>
    <col min="7937" max="7937" width="41.81640625" style="736" customWidth="1"/>
    <col min="7938" max="7938" width="13.453125" style="736" bestFit="1" customWidth="1"/>
    <col min="7939" max="7939" width="13.54296875" style="736" customWidth="1"/>
    <col min="7940" max="7940" width="11" style="736" bestFit="1" customWidth="1"/>
    <col min="7941" max="7942" width="14" style="736" customWidth="1"/>
    <col min="7943" max="7943" width="7.81640625" style="736" customWidth="1"/>
    <col min="7944" max="7944" width="11.81640625" style="736" bestFit="1" customWidth="1"/>
    <col min="7945" max="7945" width="8.54296875" style="736" bestFit="1" customWidth="1"/>
    <col min="7946" max="7946" width="10" style="736" bestFit="1" customWidth="1"/>
    <col min="7947" max="7947" width="8.54296875" style="736" bestFit="1" customWidth="1"/>
    <col min="7948" max="7948" width="10.54296875" style="736" customWidth="1"/>
    <col min="7949" max="7949" width="7.54296875" style="736" bestFit="1" customWidth="1"/>
    <col min="7950" max="7950" width="8.54296875" style="736" bestFit="1" customWidth="1"/>
    <col min="7951" max="7951" width="2.54296875" style="736" customWidth="1"/>
    <col min="7952" max="7952" width="2.81640625" style="736" customWidth="1"/>
    <col min="7953" max="8170" width="9.1796875" style="736" customWidth="1"/>
    <col min="8171" max="8171" width="26.1796875" style="736" customWidth="1"/>
    <col min="8172" max="8172" width="9.81640625" style="736" customWidth="1"/>
    <col min="8173" max="8173" width="10.81640625" style="736" customWidth="1"/>
    <col min="8174" max="8174" width="9.1796875" style="736" customWidth="1"/>
    <col min="8175" max="8175" width="14.453125" style="736" customWidth="1"/>
    <col min="8176" max="8176" width="10.81640625" style="736" customWidth="1"/>
    <col min="8177" max="8177" width="8.54296875" style="736" customWidth="1"/>
    <col min="8178" max="8178" width="0" style="736" hidden="1" customWidth="1"/>
    <col min="8179" max="8179" width="8.54296875" style="736" customWidth="1"/>
    <col min="8180" max="8180" width="0" style="736" hidden="1" customWidth="1"/>
    <col min="8181" max="8181" width="8.54296875" style="736" customWidth="1"/>
    <col min="8182" max="8182" width="0" style="736" hidden="1" customWidth="1"/>
    <col min="8183" max="8183" width="8.54296875" style="736" customWidth="1"/>
    <col min="8184" max="8184" width="0" style="736" hidden="1" customWidth="1"/>
    <col min="8185" max="8185" width="8.54296875" style="736" customWidth="1"/>
    <col min="8186" max="8186" width="14.453125" style="736" customWidth="1"/>
    <col min="8187" max="8191" width="12.54296875" style="736"/>
    <col min="8192" max="8192" width="9.1796875" style="736" customWidth="1"/>
    <col min="8193" max="8193" width="41.81640625" style="736" customWidth="1"/>
    <col min="8194" max="8194" width="13.453125" style="736" bestFit="1" customWidth="1"/>
    <col min="8195" max="8195" width="13.54296875" style="736" customWidth="1"/>
    <col min="8196" max="8196" width="11" style="736" bestFit="1" customWidth="1"/>
    <col min="8197" max="8198" width="14" style="736" customWidth="1"/>
    <col min="8199" max="8199" width="7.81640625" style="736" customWidth="1"/>
    <col min="8200" max="8200" width="11.81640625" style="736" bestFit="1" customWidth="1"/>
    <col min="8201" max="8201" width="8.54296875" style="736" bestFit="1" customWidth="1"/>
    <col min="8202" max="8202" width="10" style="736" bestFit="1" customWidth="1"/>
    <col min="8203" max="8203" width="8.54296875" style="736" bestFit="1" customWidth="1"/>
    <col min="8204" max="8204" width="10.54296875" style="736" customWidth="1"/>
    <col min="8205" max="8205" width="7.54296875" style="736" bestFit="1" customWidth="1"/>
    <col min="8206" max="8206" width="8.54296875" style="736" bestFit="1" customWidth="1"/>
    <col min="8207" max="8207" width="2.54296875" style="736" customWidth="1"/>
    <col min="8208" max="8208" width="2.81640625" style="736" customWidth="1"/>
    <col min="8209" max="8426" width="9.1796875" style="736" customWidth="1"/>
    <col min="8427" max="8427" width="26.1796875" style="736" customWidth="1"/>
    <col min="8428" max="8428" width="9.81640625" style="736" customWidth="1"/>
    <col min="8429" max="8429" width="10.81640625" style="736" customWidth="1"/>
    <col min="8430" max="8430" width="9.1796875" style="736" customWidth="1"/>
    <col min="8431" max="8431" width="14.453125" style="736" customWidth="1"/>
    <col min="8432" max="8432" width="10.81640625" style="736" customWidth="1"/>
    <col min="8433" max="8433" width="8.54296875" style="736" customWidth="1"/>
    <col min="8434" max="8434" width="0" style="736" hidden="1" customWidth="1"/>
    <col min="8435" max="8435" width="8.54296875" style="736" customWidth="1"/>
    <col min="8436" max="8436" width="0" style="736" hidden="1" customWidth="1"/>
    <col min="8437" max="8437" width="8.54296875" style="736" customWidth="1"/>
    <col min="8438" max="8438" width="0" style="736" hidden="1" customWidth="1"/>
    <col min="8439" max="8439" width="8.54296875" style="736" customWidth="1"/>
    <col min="8440" max="8440" width="0" style="736" hidden="1" customWidth="1"/>
    <col min="8441" max="8441" width="8.54296875" style="736" customWidth="1"/>
    <col min="8442" max="8442" width="14.453125" style="736" customWidth="1"/>
    <col min="8443" max="8447" width="12.54296875" style="736"/>
    <col min="8448" max="8448" width="9.1796875" style="736" customWidth="1"/>
    <col min="8449" max="8449" width="41.81640625" style="736" customWidth="1"/>
    <col min="8450" max="8450" width="13.453125" style="736" bestFit="1" customWidth="1"/>
    <col min="8451" max="8451" width="13.54296875" style="736" customWidth="1"/>
    <col min="8452" max="8452" width="11" style="736" bestFit="1" customWidth="1"/>
    <col min="8453" max="8454" width="14" style="736" customWidth="1"/>
    <col min="8455" max="8455" width="7.81640625" style="736" customWidth="1"/>
    <col min="8456" max="8456" width="11.81640625" style="736" bestFit="1" customWidth="1"/>
    <col min="8457" max="8457" width="8.54296875" style="736" bestFit="1" customWidth="1"/>
    <col min="8458" max="8458" width="10" style="736" bestFit="1" customWidth="1"/>
    <col min="8459" max="8459" width="8.54296875" style="736" bestFit="1" customWidth="1"/>
    <col min="8460" max="8460" width="10.54296875" style="736" customWidth="1"/>
    <col min="8461" max="8461" width="7.54296875" style="736" bestFit="1" customWidth="1"/>
    <col min="8462" max="8462" width="8.54296875" style="736" bestFit="1" customWidth="1"/>
    <col min="8463" max="8463" width="2.54296875" style="736" customWidth="1"/>
    <col min="8464" max="8464" width="2.81640625" style="736" customWidth="1"/>
    <col min="8465" max="8682" width="9.1796875" style="736" customWidth="1"/>
    <col min="8683" max="8683" width="26.1796875" style="736" customWidth="1"/>
    <col min="8684" max="8684" width="9.81640625" style="736" customWidth="1"/>
    <col min="8685" max="8685" width="10.81640625" style="736" customWidth="1"/>
    <col min="8686" max="8686" width="9.1796875" style="736" customWidth="1"/>
    <col min="8687" max="8687" width="14.453125" style="736" customWidth="1"/>
    <col min="8688" max="8688" width="10.81640625" style="736" customWidth="1"/>
    <col min="8689" max="8689" width="8.54296875" style="736" customWidth="1"/>
    <col min="8690" max="8690" width="0" style="736" hidden="1" customWidth="1"/>
    <col min="8691" max="8691" width="8.54296875" style="736" customWidth="1"/>
    <col min="8692" max="8692" width="0" style="736" hidden="1" customWidth="1"/>
    <col min="8693" max="8693" width="8.54296875" style="736" customWidth="1"/>
    <col min="8694" max="8694" width="0" style="736" hidden="1" customWidth="1"/>
    <col min="8695" max="8695" width="8.54296875" style="736" customWidth="1"/>
    <col min="8696" max="8696" width="0" style="736" hidden="1" customWidth="1"/>
    <col min="8697" max="8697" width="8.54296875" style="736" customWidth="1"/>
    <col min="8698" max="8698" width="14.453125" style="736" customWidth="1"/>
    <col min="8699" max="8703" width="12.54296875" style="736"/>
    <col min="8704" max="8704" width="9.1796875" style="736" customWidth="1"/>
    <col min="8705" max="8705" width="41.81640625" style="736" customWidth="1"/>
    <col min="8706" max="8706" width="13.453125" style="736" bestFit="1" customWidth="1"/>
    <col min="8707" max="8707" width="13.54296875" style="736" customWidth="1"/>
    <col min="8708" max="8708" width="11" style="736" bestFit="1" customWidth="1"/>
    <col min="8709" max="8710" width="14" style="736" customWidth="1"/>
    <col min="8711" max="8711" width="7.81640625" style="736" customWidth="1"/>
    <col min="8712" max="8712" width="11.81640625" style="736" bestFit="1" customWidth="1"/>
    <col min="8713" max="8713" width="8.54296875" style="736" bestFit="1" customWidth="1"/>
    <col min="8714" max="8714" width="10" style="736" bestFit="1" customWidth="1"/>
    <col min="8715" max="8715" width="8.54296875" style="736" bestFit="1" customWidth="1"/>
    <col min="8716" max="8716" width="10.54296875" style="736" customWidth="1"/>
    <col min="8717" max="8717" width="7.54296875" style="736" bestFit="1" customWidth="1"/>
    <col min="8718" max="8718" width="8.54296875" style="736" bestFit="1" customWidth="1"/>
    <col min="8719" max="8719" width="2.54296875" style="736" customWidth="1"/>
    <col min="8720" max="8720" width="2.81640625" style="736" customWidth="1"/>
    <col min="8721" max="8938" width="9.1796875" style="736" customWidth="1"/>
    <col min="8939" max="8939" width="26.1796875" style="736" customWidth="1"/>
    <col min="8940" max="8940" width="9.81640625" style="736" customWidth="1"/>
    <col min="8941" max="8941" width="10.81640625" style="736" customWidth="1"/>
    <col min="8942" max="8942" width="9.1796875" style="736" customWidth="1"/>
    <col min="8943" max="8943" width="14.453125" style="736" customWidth="1"/>
    <col min="8944" max="8944" width="10.81640625" style="736" customWidth="1"/>
    <col min="8945" max="8945" width="8.54296875" style="736" customWidth="1"/>
    <col min="8946" max="8946" width="0" style="736" hidden="1" customWidth="1"/>
    <col min="8947" max="8947" width="8.54296875" style="736" customWidth="1"/>
    <col min="8948" max="8948" width="0" style="736" hidden="1" customWidth="1"/>
    <col min="8949" max="8949" width="8.54296875" style="736" customWidth="1"/>
    <col min="8950" max="8950" width="0" style="736" hidden="1" customWidth="1"/>
    <col min="8951" max="8951" width="8.54296875" style="736" customWidth="1"/>
    <col min="8952" max="8952" width="0" style="736" hidden="1" customWidth="1"/>
    <col min="8953" max="8953" width="8.54296875" style="736" customWidth="1"/>
    <col min="8954" max="8954" width="14.453125" style="736" customWidth="1"/>
    <col min="8955" max="8959" width="12.54296875" style="736"/>
    <col min="8960" max="8960" width="9.1796875" style="736" customWidth="1"/>
    <col min="8961" max="8961" width="41.81640625" style="736" customWidth="1"/>
    <col min="8962" max="8962" width="13.453125" style="736" bestFit="1" customWidth="1"/>
    <col min="8963" max="8963" width="13.54296875" style="736" customWidth="1"/>
    <col min="8964" max="8964" width="11" style="736" bestFit="1" customWidth="1"/>
    <col min="8965" max="8966" width="14" style="736" customWidth="1"/>
    <col min="8967" max="8967" width="7.81640625" style="736" customWidth="1"/>
    <col min="8968" max="8968" width="11.81640625" style="736" bestFit="1" customWidth="1"/>
    <col min="8969" max="8969" width="8.54296875" style="736" bestFit="1" customWidth="1"/>
    <col min="8970" max="8970" width="10" style="736" bestFit="1" customWidth="1"/>
    <col min="8971" max="8971" width="8.54296875" style="736" bestFit="1" customWidth="1"/>
    <col min="8972" max="8972" width="10.54296875" style="736" customWidth="1"/>
    <col min="8973" max="8973" width="7.54296875" style="736" bestFit="1" customWidth="1"/>
    <col min="8974" max="8974" width="8.54296875" style="736" bestFit="1" customWidth="1"/>
    <col min="8975" max="8975" width="2.54296875" style="736" customWidth="1"/>
    <col min="8976" max="8976" width="2.81640625" style="736" customWidth="1"/>
    <col min="8977" max="9194" width="9.1796875" style="736" customWidth="1"/>
    <col min="9195" max="9195" width="26.1796875" style="736" customWidth="1"/>
    <col min="9196" max="9196" width="9.81640625" style="736" customWidth="1"/>
    <col min="9197" max="9197" width="10.81640625" style="736" customWidth="1"/>
    <col min="9198" max="9198" width="9.1796875" style="736" customWidth="1"/>
    <col min="9199" max="9199" width="14.453125" style="736" customWidth="1"/>
    <col min="9200" max="9200" width="10.81640625" style="736" customWidth="1"/>
    <col min="9201" max="9201" width="8.54296875" style="736" customWidth="1"/>
    <col min="9202" max="9202" width="0" style="736" hidden="1" customWidth="1"/>
    <col min="9203" max="9203" width="8.54296875" style="736" customWidth="1"/>
    <col min="9204" max="9204" width="0" style="736" hidden="1" customWidth="1"/>
    <col min="9205" max="9205" width="8.54296875" style="736" customWidth="1"/>
    <col min="9206" max="9206" width="0" style="736" hidden="1" customWidth="1"/>
    <col min="9207" max="9207" width="8.54296875" style="736" customWidth="1"/>
    <col min="9208" max="9208" width="0" style="736" hidden="1" customWidth="1"/>
    <col min="9209" max="9209" width="8.54296875" style="736" customWidth="1"/>
    <col min="9210" max="9210" width="14.453125" style="736" customWidth="1"/>
    <col min="9211" max="9215" width="12.54296875" style="736"/>
    <col min="9216" max="9216" width="9.1796875" style="736" customWidth="1"/>
    <col min="9217" max="9217" width="41.81640625" style="736" customWidth="1"/>
    <col min="9218" max="9218" width="13.453125" style="736" bestFit="1" customWidth="1"/>
    <col min="9219" max="9219" width="13.54296875" style="736" customWidth="1"/>
    <col min="9220" max="9220" width="11" style="736" bestFit="1" customWidth="1"/>
    <col min="9221" max="9222" width="14" style="736" customWidth="1"/>
    <col min="9223" max="9223" width="7.81640625" style="736" customWidth="1"/>
    <col min="9224" max="9224" width="11.81640625" style="736" bestFit="1" customWidth="1"/>
    <col min="9225" max="9225" width="8.54296875" style="736" bestFit="1" customWidth="1"/>
    <col min="9226" max="9226" width="10" style="736" bestFit="1" customWidth="1"/>
    <col min="9227" max="9227" width="8.54296875" style="736" bestFit="1" customWidth="1"/>
    <col min="9228" max="9228" width="10.54296875" style="736" customWidth="1"/>
    <col min="9229" max="9229" width="7.54296875" style="736" bestFit="1" customWidth="1"/>
    <col min="9230" max="9230" width="8.54296875" style="736" bestFit="1" customWidth="1"/>
    <col min="9231" max="9231" width="2.54296875" style="736" customWidth="1"/>
    <col min="9232" max="9232" width="2.81640625" style="736" customWidth="1"/>
    <col min="9233" max="9450" width="9.1796875" style="736" customWidth="1"/>
    <col min="9451" max="9451" width="26.1796875" style="736" customWidth="1"/>
    <col min="9452" max="9452" width="9.81640625" style="736" customWidth="1"/>
    <col min="9453" max="9453" width="10.81640625" style="736" customWidth="1"/>
    <col min="9454" max="9454" width="9.1796875" style="736" customWidth="1"/>
    <col min="9455" max="9455" width="14.453125" style="736" customWidth="1"/>
    <col min="9456" max="9456" width="10.81640625" style="736" customWidth="1"/>
    <col min="9457" max="9457" width="8.54296875" style="736" customWidth="1"/>
    <col min="9458" max="9458" width="0" style="736" hidden="1" customWidth="1"/>
    <col min="9459" max="9459" width="8.54296875" style="736" customWidth="1"/>
    <col min="9460" max="9460" width="0" style="736" hidden="1" customWidth="1"/>
    <col min="9461" max="9461" width="8.54296875" style="736" customWidth="1"/>
    <col min="9462" max="9462" width="0" style="736" hidden="1" customWidth="1"/>
    <col min="9463" max="9463" width="8.54296875" style="736" customWidth="1"/>
    <col min="9464" max="9464" width="0" style="736" hidden="1" customWidth="1"/>
    <col min="9465" max="9465" width="8.54296875" style="736" customWidth="1"/>
    <col min="9466" max="9466" width="14.453125" style="736" customWidth="1"/>
    <col min="9467" max="9471" width="12.54296875" style="736"/>
    <col min="9472" max="9472" width="9.1796875" style="736" customWidth="1"/>
    <col min="9473" max="9473" width="41.81640625" style="736" customWidth="1"/>
    <col min="9474" max="9474" width="13.453125" style="736" bestFit="1" customWidth="1"/>
    <col min="9475" max="9475" width="13.54296875" style="736" customWidth="1"/>
    <col min="9476" max="9476" width="11" style="736" bestFit="1" customWidth="1"/>
    <col min="9477" max="9478" width="14" style="736" customWidth="1"/>
    <col min="9479" max="9479" width="7.81640625" style="736" customWidth="1"/>
    <col min="9480" max="9480" width="11.81640625" style="736" bestFit="1" customWidth="1"/>
    <col min="9481" max="9481" width="8.54296875" style="736" bestFit="1" customWidth="1"/>
    <col min="9482" max="9482" width="10" style="736" bestFit="1" customWidth="1"/>
    <col min="9483" max="9483" width="8.54296875" style="736" bestFit="1" customWidth="1"/>
    <col min="9484" max="9484" width="10.54296875" style="736" customWidth="1"/>
    <col min="9485" max="9485" width="7.54296875" style="736" bestFit="1" customWidth="1"/>
    <col min="9486" max="9486" width="8.54296875" style="736" bestFit="1" customWidth="1"/>
    <col min="9487" max="9487" width="2.54296875" style="736" customWidth="1"/>
    <col min="9488" max="9488" width="2.81640625" style="736" customWidth="1"/>
    <col min="9489" max="9706" width="9.1796875" style="736" customWidth="1"/>
    <col min="9707" max="9707" width="26.1796875" style="736" customWidth="1"/>
    <col min="9708" max="9708" width="9.81640625" style="736" customWidth="1"/>
    <col min="9709" max="9709" width="10.81640625" style="736" customWidth="1"/>
    <col min="9710" max="9710" width="9.1796875" style="736" customWidth="1"/>
    <col min="9711" max="9711" width="14.453125" style="736" customWidth="1"/>
    <col min="9712" max="9712" width="10.81640625" style="736" customWidth="1"/>
    <col min="9713" max="9713" width="8.54296875" style="736" customWidth="1"/>
    <col min="9714" max="9714" width="0" style="736" hidden="1" customWidth="1"/>
    <col min="9715" max="9715" width="8.54296875" style="736" customWidth="1"/>
    <col min="9716" max="9716" width="0" style="736" hidden="1" customWidth="1"/>
    <col min="9717" max="9717" width="8.54296875" style="736" customWidth="1"/>
    <col min="9718" max="9718" width="0" style="736" hidden="1" customWidth="1"/>
    <col min="9719" max="9719" width="8.54296875" style="736" customWidth="1"/>
    <col min="9720" max="9720" width="0" style="736" hidden="1" customWidth="1"/>
    <col min="9721" max="9721" width="8.54296875" style="736" customWidth="1"/>
    <col min="9722" max="9722" width="14.453125" style="736" customWidth="1"/>
    <col min="9723" max="9727" width="12.54296875" style="736"/>
    <col min="9728" max="9728" width="9.1796875" style="736" customWidth="1"/>
    <col min="9729" max="9729" width="41.81640625" style="736" customWidth="1"/>
    <col min="9730" max="9730" width="13.453125" style="736" bestFit="1" customWidth="1"/>
    <col min="9731" max="9731" width="13.54296875" style="736" customWidth="1"/>
    <col min="9732" max="9732" width="11" style="736" bestFit="1" customWidth="1"/>
    <col min="9733" max="9734" width="14" style="736" customWidth="1"/>
    <col min="9735" max="9735" width="7.81640625" style="736" customWidth="1"/>
    <col min="9736" max="9736" width="11.81640625" style="736" bestFit="1" customWidth="1"/>
    <col min="9737" max="9737" width="8.54296875" style="736" bestFit="1" customWidth="1"/>
    <col min="9738" max="9738" width="10" style="736" bestFit="1" customWidth="1"/>
    <col min="9739" max="9739" width="8.54296875" style="736" bestFit="1" customWidth="1"/>
    <col min="9740" max="9740" width="10.54296875" style="736" customWidth="1"/>
    <col min="9741" max="9741" width="7.54296875" style="736" bestFit="1" customWidth="1"/>
    <col min="9742" max="9742" width="8.54296875" style="736" bestFit="1" customWidth="1"/>
    <col min="9743" max="9743" width="2.54296875" style="736" customWidth="1"/>
    <col min="9744" max="9744" width="2.81640625" style="736" customWidth="1"/>
    <col min="9745" max="9962" width="9.1796875" style="736" customWidth="1"/>
    <col min="9963" max="9963" width="26.1796875" style="736" customWidth="1"/>
    <col min="9964" max="9964" width="9.81640625" style="736" customWidth="1"/>
    <col min="9965" max="9965" width="10.81640625" style="736" customWidth="1"/>
    <col min="9966" max="9966" width="9.1796875" style="736" customWidth="1"/>
    <col min="9967" max="9967" width="14.453125" style="736" customWidth="1"/>
    <col min="9968" max="9968" width="10.81640625" style="736" customWidth="1"/>
    <col min="9969" max="9969" width="8.54296875" style="736" customWidth="1"/>
    <col min="9970" max="9970" width="0" style="736" hidden="1" customWidth="1"/>
    <col min="9971" max="9971" width="8.54296875" style="736" customWidth="1"/>
    <col min="9972" max="9972" width="0" style="736" hidden="1" customWidth="1"/>
    <col min="9973" max="9973" width="8.54296875" style="736" customWidth="1"/>
    <col min="9974" max="9974" width="0" style="736" hidden="1" customWidth="1"/>
    <col min="9975" max="9975" width="8.54296875" style="736" customWidth="1"/>
    <col min="9976" max="9976" width="0" style="736" hidden="1" customWidth="1"/>
    <col min="9977" max="9977" width="8.54296875" style="736" customWidth="1"/>
    <col min="9978" max="9978" width="14.453125" style="736" customWidth="1"/>
    <col min="9979" max="9983" width="12.54296875" style="736"/>
    <col min="9984" max="9984" width="9.1796875" style="736" customWidth="1"/>
    <col min="9985" max="9985" width="41.81640625" style="736" customWidth="1"/>
    <col min="9986" max="9986" width="13.453125" style="736" bestFit="1" customWidth="1"/>
    <col min="9987" max="9987" width="13.54296875" style="736" customWidth="1"/>
    <col min="9988" max="9988" width="11" style="736" bestFit="1" customWidth="1"/>
    <col min="9989" max="9990" width="14" style="736" customWidth="1"/>
    <col min="9991" max="9991" width="7.81640625" style="736" customWidth="1"/>
    <col min="9992" max="9992" width="11.81640625" style="736" bestFit="1" customWidth="1"/>
    <col min="9993" max="9993" width="8.54296875" style="736" bestFit="1" customWidth="1"/>
    <col min="9994" max="9994" width="10" style="736" bestFit="1" customWidth="1"/>
    <col min="9995" max="9995" width="8.54296875" style="736" bestFit="1" customWidth="1"/>
    <col min="9996" max="9996" width="10.54296875" style="736" customWidth="1"/>
    <col min="9997" max="9997" width="7.54296875" style="736" bestFit="1" customWidth="1"/>
    <col min="9998" max="9998" width="8.54296875" style="736" bestFit="1" customWidth="1"/>
    <col min="9999" max="9999" width="2.54296875" style="736" customWidth="1"/>
    <col min="10000" max="10000" width="2.81640625" style="736" customWidth="1"/>
    <col min="10001" max="10218" width="9.1796875" style="736" customWidth="1"/>
    <col min="10219" max="10219" width="26.1796875" style="736" customWidth="1"/>
    <col min="10220" max="10220" width="9.81640625" style="736" customWidth="1"/>
    <col min="10221" max="10221" width="10.81640625" style="736" customWidth="1"/>
    <col min="10222" max="10222" width="9.1796875" style="736" customWidth="1"/>
    <col min="10223" max="10223" width="14.453125" style="736" customWidth="1"/>
    <col min="10224" max="10224" width="10.81640625" style="736" customWidth="1"/>
    <col min="10225" max="10225" width="8.54296875" style="736" customWidth="1"/>
    <col min="10226" max="10226" width="0" style="736" hidden="1" customWidth="1"/>
    <col min="10227" max="10227" width="8.54296875" style="736" customWidth="1"/>
    <col min="10228" max="10228" width="0" style="736" hidden="1" customWidth="1"/>
    <col min="10229" max="10229" width="8.54296875" style="736" customWidth="1"/>
    <col min="10230" max="10230" width="0" style="736" hidden="1" customWidth="1"/>
    <col min="10231" max="10231" width="8.54296875" style="736" customWidth="1"/>
    <col min="10232" max="10232" width="0" style="736" hidden="1" customWidth="1"/>
    <col min="10233" max="10233" width="8.54296875" style="736" customWidth="1"/>
    <col min="10234" max="10234" width="14.453125" style="736" customWidth="1"/>
    <col min="10235" max="10239" width="12.54296875" style="736"/>
    <col min="10240" max="10240" width="9.1796875" style="736" customWidth="1"/>
    <col min="10241" max="10241" width="41.81640625" style="736" customWidth="1"/>
    <col min="10242" max="10242" width="13.453125" style="736" bestFit="1" customWidth="1"/>
    <col min="10243" max="10243" width="13.54296875" style="736" customWidth="1"/>
    <col min="10244" max="10244" width="11" style="736" bestFit="1" customWidth="1"/>
    <col min="10245" max="10246" width="14" style="736" customWidth="1"/>
    <col min="10247" max="10247" width="7.81640625" style="736" customWidth="1"/>
    <col min="10248" max="10248" width="11.81640625" style="736" bestFit="1" customWidth="1"/>
    <col min="10249" max="10249" width="8.54296875" style="736" bestFit="1" customWidth="1"/>
    <col min="10250" max="10250" width="10" style="736" bestFit="1" customWidth="1"/>
    <col min="10251" max="10251" width="8.54296875" style="736" bestFit="1" customWidth="1"/>
    <col min="10252" max="10252" width="10.54296875" style="736" customWidth="1"/>
    <col min="10253" max="10253" width="7.54296875" style="736" bestFit="1" customWidth="1"/>
    <col min="10254" max="10254" width="8.54296875" style="736" bestFit="1" customWidth="1"/>
    <col min="10255" max="10255" width="2.54296875" style="736" customWidth="1"/>
    <col min="10256" max="10256" width="2.81640625" style="736" customWidth="1"/>
    <col min="10257" max="10474" width="9.1796875" style="736" customWidth="1"/>
    <col min="10475" max="10475" width="26.1796875" style="736" customWidth="1"/>
    <col min="10476" max="10476" width="9.81640625" style="736" customWidth="1"/>
    <col min="10477" max="10477" width="10.81640625" style="736" customWidth="1"/>
    <col min="10478" max="10478" width="9.1796875" style="736" customWidth="1"/>
    <col min="10479" max="10479" width="14.453125" style="736" customWidth="1"/>
    <col min="10480" max="10480" width="10.81640625" style="736" customWidth="1"/>
    <col min="10481" max="10481" width="8.54296875" style="736" customWidth="1"/>
    <col min="10482" max="10482" width="0" style="736" hidden="1" customWidth="1"/>
    <col min="10483" max="10483" width="8.54296875" style="736" customWidth="1"/>
    <col min="10484" max="10484" width="0" style="736" hidden="1" customWidth="1"/>
    <col min="10485" max="10485" width="8.54296875" style="736" customWidth="1"/>
    <col min="10486" max="10486" width="0" style="736" hidden="1" customWidth="1"/>
    <col min="10487" max="10487" width="8.54296875" style="736" customWidth="1"/>
    <col min="10488" max="10488" width="0" style="736" hidden="1" customWidth="1"/>
    <col min="10489" max="10489" width="8.54296875" style="736" customWidth="1"/>
    <col min="10490" max="10490" width="14.453125" style="736" customWidth="1"/>
    <col min="10491" max="10495" width="12.54296875" style="736"/>
    <col min="10496" max="10496" width="9.1796875" style="736" customWidth="1"/>
    <col min="10497" max="10497" width="41.81640625" style="736" customWidth="1"/>
    <col min="10498" max="10498" width="13.453125" style="736" bestFit="1" customWidth="1"/>
    <col min="10499" max="10499" width="13.54296875" style="736" customWidth="1"/>
    <col min="10500" max="10500" width="11" style="736" bestFit="1" customWidth="1"/>
    <col min="10501" max="10502" width="14" style="736" customWidth="1"/>
    <col min="10503" max="10503" width="7.81640625" style="736" customWidth="1"/>
    <col min="10504" max="10504" width="11.81640625" style="736" bestFit="1" customWidth="1"/>
    <col min="10505" max="10505" width="8.54296875" style="736" bestFit="1" customWidth="1"/>
    <col min="10506" max="10506" width="10" style="736" bestFit="1" customWidth="1"/>
    <col min="10507" max="10507" width="8.54296875" style="736" bestFit="1" customWidth="1"/>
    <col min="10508" max="10508" width="10.54296875" style="736" customWidth="1"/>
    <col min="10509" max="10509" width="7.54296875" style="736" bestFit="1" customWidth="1"/>
    <col min="10510" max="10510" width="8.54296875" style="736" bestFit="1" customWidth="1"/>
    <col min="10511" max="10511" width="2.54296875" style="736" customWidth="1"/>
    <col min="10512" max="10512" width="2.81640625" style="736" customWidth="1"/>
    <col min="10513" max="10730" width="9.1796875" style="736" customWidth="1"/>
    <col min="10731" max="10731" width="26.1796875" style="736" customWidth="1"/>
    <col min="10732" max="10732" width="9.81640625" style="736" customWidth="1"/>
    <col min="10733" max="10733" width="10.81640625" style="736" customWidth="1"/>
    <col min="10734" max="10734" width="9.1796875" style="736" customWidth="1"/>
    <col min="10735" max="10735" width="14.453125" style="736" customWidth="1"/>
    <col min="10736" max="10736" width="10.81640625" style="736" customWidth="1"/>
    <col min="10737" max="10737" width="8.54296875" style="736" customWidth="1"/>
    <col min="10738" max="10738" width="0" style="736" hidden="1" customWidth="1"/>
    <col min="10739" max="10739" width="8.54296875" style="736" customWidth="1"/>
    <col min="10740" max="10740" width="0" style="736" hidden="1" customWidth="1"/>
    <col min="10741" max="10741" width="8.54296875" style="736" customWidth="1"/>
    <col min="10742" max="10742" width="0" style="736" hidden="1" customWidth="1"/>
    <col min="10743" max="10743" width="8.54296875" style="736" customWidth="1"/>
    <col min="10744" max="10744" width="0" style="736" hidden="1" customWidth="1"/>
    <col min="10745" max="10745" width="8.54296875" style="736" customWidth="1"/>
    <col min="10746" max="10746" width="14.453125" style="736" customWidth="1"/>
    <col min="10747" max="10751" width="12.54296875" style="736"/>
    <col min="10752" max="10752" width="9.1796875" style="736" customWidth="1"/>
    <col min="10753" max="10753" width="41.81640625" style="736" customWidth="1"/>
    <col min="10754" max="10754" width="13.453125" style="736" bestFit="1" customWidth="1"/>
    <col min="10755" max="10755" width="13.54296875" style="736" customWidth="1"/>
    <col min="10756" max="10756" width="11" style="736" bestFit="1" customWidth="1"/>
    <col min="10757" max="10758" width="14" style="736" customWidth="1"/>
    <col min="10759" max="10759" width="7.81640625" style="736" customWidth="1"/>
    <col min="10760" max="10760" width="11.81640625" style="736" bestFit="1" customWidth="1"/>
    <col min="10761" max="10761" width="8.54296875" style="736" bestFit="1" customWidth="1"/>
    <col min="10762" max="10762" width="10" style="736" bestFit="1" customWidth="1"/>
    <col min="10763" max="10763" width="8.54296875" style="736" bestFit="1" customWidth="1"/>
    <col min="10764" max="10764" width="10.54296875" style="736" customWidth="1"/>
    <col min="10765" max="10765" width="7.54296875" style="736" bestFit="1" customWidth="1"/>
    <col min="10766" max="10766" width="8.54296875" style="736" bestFit="1" customWidth="1"/>
    <col min="10767" max="10767" width="2.54296875" style="736" customWidth="1"/>
    <col min="10768" max="10768" width="2.81640625" style="736" customWidth="1"/>
    <col min="10769" max="10986" width="9.1796875" style="736" customWidth="1"/>
    <col min="10987" max="10987" width="26.1796875" style="736" customWidth="1"/>
    <col min="10988" max="10988" width="9.81640625" style="736" customWidth="1"/>
    <col min="10989" max="10989" width="10.81640625" style="736" customWidth="1"/>
    <col min="10990" max="10990" width="9.1796875" style="736" customWidth="1"/>
    <col min="10991" max="10991" width="14.453125" style="736" customWidth="1"/>
    <col min="10992" max="10992" width="10.81640625" style="736" customWidth="1"/>
    <col min="10993" max="10993" width="8.54296875" style="736" customWidth="1"/>
    <col min="10994" max="10994" width="0" style="736" hidden="1" customWidth="1"/>
    <col min="10995" max="10995" width="8.54296875" style="736" customWidth="1"/>
    <col min="10996" max="10996" width="0" style="736" hidden="1" customWidth="1"/>
    <col min="10997" max="10997" width="8.54296875" style="736" customWidth="1"/>
    <col min="10998" max="10998" width="0" style="736" hidden="1" customWidth="1"/>
    <col min="10999" max="10999" width="8.54296875" style="736" customWidth="1"/>
    <col min="11000" max="11000" width="0" style="736" hidden="1" customWidth="1"/>
    <col min="11001" max="11001" width="8.54296875" style="736" customWidth="1"/>
    <col min="11002" max="11002" width="14.453125" style="736" customWidth="1"/>
    <col min="11003" max="11007" width="12.54296875" style="736"/>
    <col min="11008" max="11008" width="9.1796875" style="736" customWidth="1"/>
    <col min="11009" max="11009" width="41.81640625" style="736" customWidth="1"/>
    <col min="11010" max="11010" width="13.453125" style="736" bestFit="1" customWidth="1"/>
    <col min="11011" max="11011" width="13.54296875" style="736" customWidth="1"/>
    <col min="11012" max="11012" width="11" style="736" bestFit="1" customWidth="1"/>
    <col min="11013" max="11014" width="14" style="736" customWidth="1"/>
    <col min="11015" max="11015" width="7.81640625" style="736" customWidth="1"/>
    <col min="11016" max="11016" width="11.81640625" style="736" bestFit="1" customWidth="1"/>
    <col min="11017" max="11017" width="8.54296875" style="736" bestFit="1" customWidth="1"/>
    <col min="11018" max="11018" width="10" style="736" bestFit="1" customWidth="1"/>
    <col min="11019" max="11019" width="8.54296875" style="736" bestFit="1" customWidth="1"/>
    <col min="11020" max="11020" width="10.54296875" style="736" customWidth="1"/>
    <col min="11021" max="11021" width="7.54296875" style="736" bestFit="1" customWidth="1"/>
    <col min="11022" max="11022" width="8.54296875" style="736" bestFit="1" customWidth="1"/>
    <col min="11023" max="11023" width="2.54296875" style="736" customWidth="1"/>
    <col min="11024" max="11024" width="2.81640625" style="736" customWidth="1"/>
    <col min="11025" max="11242" width="9.1796875" style="736" customWidth="1"/>
    <col min="11243" max="11243" width="26.1796875" style="736" customWidth="1"/>
    <col min="11244" max="11244" width="9.81640625" style="736" customWidth="1"/>
    <col min="11245" max="11245" width="10.81640625" style="736" customWidth="1"/>
    <col min="11246" max="11246" width="9.1796875" style="736" customWidth="1"/>
    <col min="11247" max="11247" width="14.453125" style="736" customWidth="1"/>
    <col min="11248" max="11248" width="10.81640625" style="736" customWidth="1"/>
    <col min="11249" max="11249" width="8.54296875" style="736" customWidth="1"/>
    <col min="11250" max="11250" width="0" style="736" hidden="1" customWidth="1"/>
    <col min="11251" max="11251" width="8.54296875" style="736" customWidth="1"/>
    <col min="11252" max="11252" width="0" style="736" hidden="1" customWidth="1"/>
    <col min="11253" max="11253" width="8.54296875" style="736" customWidth="1"/>
    <col min="11254" max="11254" width="0" style="736" hidden="1" customWidth="1"/>
    <col min="11255" max="11255" width="8.54296875" style="736" customWidth="1"/>
    <col min="11256" max="11256" width="0" style="736" hidden="1" customWidth="1"/>
    <col min="11257" max="11257" width="8.54296875" style="736" customWidth="1"/>
    <col min="11258" max="11258" width="14.453125" style="736" customWidth="1"/>
    <col min="11259" max="11263" width="12.54296875" style="736"/>
    <col min="11264" max="11264" width="9.1796875" style="736" customWidth="1"/>
    <col min="11265" max="11265" width="41.81640625" style="736" customWidth="1"/>
    <col min="11266" max="11266" width="13.453125" style="736" bestFit="1" customWidth="1"/>
    <col min="11267" max="11267" width="13.54296875" style="736" customWidth="1"/>
    <col min="11268" max="11268" width="11" style="736" bestFit="1" customWidth="1"/>
    <col min="11269" max="11270" width="14" style="736" customWidth="1"/>
    <col min="11271" max="11271" width="7.81640625" style="736" customWidth="1"/>
    <col min="11272" max="11272" width="11.81640625" style="736" bestFit="1" customWidth="1"/>
    <col min="11273" max="11273" width="8.54296875" style="736" bestFit="1" customWidth="1"/>
    <col min="11274" max="11274" width="10" style="736" bestFit="1" customWidth="1"/>
    <col min="11275" max="11275" width="8.54296875" style="736" bestFit="1" customWidth="1"/>
    <col min="11276" max="11276" width="10.54296875" style="736" customWidth="1"/>
    <col min="11277" max="11277" width="7.54296875" style="736" bestFit="1" customWidth="1"/>
    <col min="11278" max="11278" width="8.54296875" style="736" bestFit="1" customWidth="1"/>
    <col min="11279" max="11279" width="2.54296875" style="736" customWidth="1"/>
    <col min="11280" max="11280" width="2.81640625" style="736" customWidth="1"/>
    <col min="11281" max="11498" width="9.1796875" style="736" customWidth="1"/>
    <col min="11499" max="11499" width="26.1796875" style="736" customWidth="1"/>
    <col min="11500" max="11500" width="9.81640625" style="736" customWidth="1"/>
    <col min="11501" max="11501" width="10.81640625" style="736" customWidth="1"/>
    <col min="11502" max="11502" width="9.1796875" style="736" customWidth="1"/>
    <col min="11503" max="11503" width="14.453125" style="736" customWidth="1"/>
    <col min="11504" max="11504" width="10.81640625" style="736" customWidth="1"/>
    <col min="11505" max="11505" width="8.54296875" style="736" customWidth="1"/>
    <col min="11506" max="11506" width="0" style="736" hidden="1" customWidth="1"/>
    <col min="11507" max="11507" width="8.54296875" style="736" customWidth="1"/>
    <col min="11508" max="11508" width="0" style="736" hidden="1" customWidth="1"/>
    <col min="11509" max="11509" width="8.54296875" style="736" customWidth="1"/>
    <col min="11510" max="11510" width="0" style="736" hidden="1" customWidth="1"/>
    <col min="11511" max="11511" width="8.54296875" style="736" customWidth="1"/>
    <col min="11512" max="11512" width="0" style="736" hidden="1" customWidth="1"/>
    <col min="11513" max="11513" width="8.54296875" style="736" customWidth="1"/>
    <col min="11514" max="11514" width="14.453125" style="736" customWidth="1"/>
    <col min="11515" max="11519" width="12.54296875" style="736"/>
    <col min="11520" max="11520" width="9.1796875" style="736" customWidth="1"/>
    <col min="11521" max="11521" width="41.81640625" style="736" customWidth="1"/>
    <col min="11522" max="11522" width="13.453125" style="736" bestFit="1" customWidth="1"/>
    <col min="11523" max="11523" width="13.54296875" style="736" customWidth="1"/>
    <col min="11524" max="11524" width="11" style="736" bestFit="1" customWidth="1"/>
    <col min="11525" max="11526" width="14" style="736" customWidth="1"/>
    <col min="11527" max="11527" width="7.81640625" style="736" customWidth="1"/>
    <col min="11528" max="11528" width="11.81640625" style="736" bestFit="1" customWidth="1"/>
    <col min="11529" max="11529" width="8.54296875" style="736" bestFit="1" customWidth="1"/>
    <col min="11530" max="11530" width="10" style="736" bestFit="1" customWidth="1"/>
    <col min="11531" max="11531" width="8.54296875" style="736" bestFit="1" customWidth="1"/>
    <col min="11532" max="11532" width="10.54296875" style="736" customWidth="1"/>
    <col min="11533" max="11533" width="7.54296875" style="736" bestFit="1" customWidth="1"/>
    <col min="11534" max="11534" width="8.54296875" style="736" bestFit="1" customWidth="1"/>
    <col min="11535" max="11535" width="2.54296875" style="736" customWidth="1"/>
    <col min="11536" max="11536" width="2.81640625" style="736" customWidth="1"/>
    <col min="11537" max="11754" width="9.1796875" style="736" customWidth="1"/>
    <col min="11755" max="11755" width="26.1796875" style="736" customWidth="1"/>
    <col min="11756" max="11756" width="9.81640625" style="736" customWidth="1"/>
    <col min="11757" max="11757" width="10.81640625" style="736" customWidth="1"/>
    <col min="11758" max="11758" width="9.1796875" style="736" customWidth="1"/>
    <col min="11759" max="11759" width="14.453125" style="736" customWidth="1"/>
    <col min="11760" max="11760" width="10.81640625" style="736" customWidth="1"/>
    <col min="11761" max="11761" width="8.54296875" style="736" customWidth="1"/>
    <col min="11762" max="11762" width="0" style="736" hidden="1" customWidth="1"/>
    <col min="11763" max="11763" width="8.54296875" style="736" customWidth="1"/>
    <col min="11764" max="11764" width="0" style="736" hidden="1" customWidth="1"/>
    <col min="11765" max="11765" width="8.54296875" style="736" customWidth="1"/>
    <col min="11766" max="11766" width="0" style="736" hidden="1" customWidth="1"/>
    <col min="11767" max="11767" width="8.54296875" style="736" customWidth="1"/>
    <col min="11768" max="11768" width="0" style="736" hidden="1" customWidth="1"/>
    <col min="11769" max="11769" width="8.54296875" style="736" customWidth="1"/>
    <col min="11770" max="11770" width="14.453125" style="736" customWidth="1"/>
    <col min="11771" max="11775" width="12.54296875" style="736"/>
    <col min="11776" max="11776" width="9.1796875" style="736" customWidth="1"/>
    <col min="11777" max="11777" width="41.81640625" style="736" customWidth="1"/>
    <col min="11778" max="11778" width="13.453125" style="736" bestFit="1" customWidth="1"/>
    <col min="11779" max="11779" width="13.54296875" style="736" customWidth="1"/>
    <col min="11780" max="11780" width="11" style="736" bestFit="1" customWidth="1"/>
    <col min="11781" max="11782" width="14" style="736" customWidth="1"/>
    <col min="11783" max="11783" width="7.81640625" style="736" customWidth="1"/>
    <col min="11784" max="11784" width="11.81640625" style="736" bestFit="1" customWidth="1"/>
    <col min="11785" max="11785" width="8.54296875" style="736" bestFit="1" customWidth="1"/>
    <col min="11786" max="11786" width="10" style="736" bestFit="1" customWidth="1"/>
    <col min="11787" max="11787" width="8.54296875" style="736" bestFit="1" customWidth="1"/>
    <col min="11788" max="11788" width="10.54296875" style="736" customWidth="1"/>
    <col min="11789" max="11789" width="7.54296875" style="736" bestFit="1" customWidth="1"/>
    <col min="11790" max="11790" width="8.54296875" style="736" bestFit="1" customWidth="1"/>
    <col min="11791" max="11791" width="2.54296875" style="736" customWidth="1"/>
    <col min="11792" max="11792" width="2.81640625" style="736" customWidth="1"/>
    <col min="11793" max="12010" width="9.1796875" style="736" customWidth="1"/>
    <col min="12011" max="12011" width="26.1796875" style="736" customWidth="1"/>
    <col min="12012" max="12012" width="9.81640625" style="736" customWidth="1"/>
    <col min="12013" max="12013" width="10.81640625" style="736" customWidth="1"/>
    <col min="12014" max="12014" width="9.1796875" style="736" customWidth="1"/>
    <col min="12015" max="12015" width="14.453125" style="736" customWidth="1"/>
    <col min="12016" max="12016" width="10.81640625" style="736" customWidth="1"/>
    <col min="12017" max="12017" width="8.54296875" style="736" customWidth="1"/>
    <col min="12018" max="12018" width="0" style="736" hidden="1" customWidth="1"/>
    <col min="12019" max="12019" width="8.54296875" style="736" customWidth="1"/>
    <col min="12020" max="12020" width="0" style="736" hidden="1" customWidth="1"/>
    <col min="12021" max="12021" width="8.54296875" style="736" customWidth="1"/>
    <col min="12022" max="12022" width="0" style="736" hidden="1" customWidth="1"/>
    <col min="12023" max="12023" width="8.54296875" style="736" customWidth="1"/>
    <col min="12024" max="12024" width="0" style="736" hidden="1" customWidth="1"/>
    <col min="12025" max="12025" width="8.54296875" style="736" customWidth="1"/>
    <col min="12026" max="12026" width="14.453125" style="736" customWidth="1"/>
    <col min="12027" max="12031" width="12.54296875" style="736"/>
    <col min="12032" max="12032" width="9.1796875" style="736" customWidth="1"/>
    <col min="12033" max="12033" width="41.81640625" style="736" customWidth="1"/>
    <col min="12034" max="12034" width="13.453125" style="736" bestFit="1" customWidth="1"/>
    <col min="12035" max="12035" width="13.54296875" style="736" customWidth="1"/>
    <col min="12036" max="12036" width="11" style="736" bestFit="1" customWidth="1"/>
    <col min="12037" max="12038" width="14" style="736" customWidth="1"/>
    <col min="12039" max="12039" width="7.81640625" style="736" customWidth="1"/>
    <col min="12040" max="12040" width="11.81640625" style="736" bestFit="1" customWidth="1"/>
    <col min="12041" max="12041" width="8.54296875" style="736" bestFit="1" customWidth="1"/>
    <col min="12042" max="12042" width="10" style="736" bestFit="1" customWidth="1"/>
    <col min="12043" max="12043" width="8.54296875" style="736" bestFit="1" customWidth="1"/>
    <col min="12044" max="12044" width="10.54296875" style="736" customWidth="1"/>
    <col min="12045" max="12045" width="7.54296875" style="736" bestFit="1" customWidth="1"/>
    <col min="12046" max="12046" width="8.54296875" style="736" bestFit="1" customWidth="1"/>
    <col min="12047" max="12047" width="2.54296875" style="736" customWidth="1"/>
    <col min="12048" max="12048" width="2.81640625" style="736" customWidth="1"/>
    <col min="12049" max="12266" width="9.1796875" style="736" customWidth="1"/>
    <col min="12267" max="12267" width="26.1796875" style="736" customWidth="1"/>
    <col min="12268" max="12268" width="9.81640625" style="736" customWidth="1"/>
    <col min="12269" max="12269" width="10.81640625" style="736" customWidth="1"/>
    <col min="12270" max="12270" width="9.1796875" style="736" customWidth="1"/>
    <col min="12271" max="12271" width="14.453125" style="736" customWidth="1"/>
    <col min="12272" max="12272" width="10.81640625" style="736" customWidth="1"/>
    <col min="12273" max="12273" width="8.54296875" style="736" customWidth="1"/>
    <col min="12274" max="12274" width="0" style="736" hidden="1" customWidth="1"/>
    <col min="12275" max="12275" width="8.54296875" style="736" customWidth="1"/>
    <col min="12276" max="12276" width="0" style="736" hidden="1" customWidth="1"/>
    <col min="12277" max="12277" width="8.54296875" style="736" customWidth="1"/>
    <col min="12278" max="12278" width="0" style="736" hidden="1" customWidth="1"/>
    <col min="12279" max="12279" width="8.54296875" style="736" customWidth="1"/>
    <col min="12280" max="12280" width="0" style="736" hidden="1" customWidth="1"/>
    <col min="12281" max="12281" width="8.54296875" style="736" customWidth="1"/>
    <col min="12282" max="12282" width="14.453125" style="736" customWidth="1"/>
    <col min="12283" max="12287" width="12.54296875" style="736"/>
    <col min="12288" max="12288" width="9.1796875" style="736" customWidth="1"/>
    <col min="12289" max="12289" width="41.81640625" style="736" customWidth="1"/>
    <col min="12290" max="12290" width="13.453125" style="736" bestFit="1" customWidth="1"/>
    <col min="12291" max="12291" width="13.54296875" style="736" customWidth="1"/>
    <col min="12292" max="12292" width="11" style="736" bestFit="1" customWidth="1"/>
    <col min="12293" max="12294" width="14" style="736" customWidth="1"/>
    <col min="12295" max="12295" width="7.81640625" style="736" customWidth="1"/>
    <col min="12296" max="12296" width="11.81640625" style="736" bestFit="1" customWidth="1"/>
    <col min="12297" max="12297" width="8.54296875" style="736" bestFit="1" customWidth="1"/>
    <col min="12298" max="12298" width="10" style="736" bestFit="1" customWidth="1"/>
    <col min="12299" max="12299" width="8.54296875" style="736" bestFit="1" customWidth="1"/>
    <col min="12300" max="12300" width="10.54296875" style="736" customWidth="1"/>
    <col min="12301" max="12301" width="7.54296875" style="736" bestFit="1" customWidth="1"/>
    <col min="12302" max="12302" width="8.54296875" style="736" bestFit="1" customWidth="1"/>
    <col min="12303" max="12303" width="2.54296875" style="736" customWidth="1"/>
    <col min="12304" max="12304" width="2.81640625" style="736" customWidth="1"/>
    <col min="12305" max="12522" width="9.1796875" style="736" customWidth="1"/>
    <col min="12523" max="12523" width="26.1796875" style="736" customWidth="1"/>
    <col min="12524" max="12524" width="9.81640625" style="736" customWidth="1"/>
    <col min="12525" max="12525" width="10.81640625" style="736" customWidth="1"/>
    <col min="12526" max="12526" width="9.1796875" style="736" customWidth="1"/>
    <col min="12527" max="12527" width="14.453125" style="736" customWidth="1"/>
    <col min="12528" max="12528" width="10.81640625" style="736" customWidth="1"/>
    <col min="12529" max="12529" width="8.54296875" style="736" customWidth="1"/>
    <col min="12530" max="12530" width="0" style="736" hidden="1" customWidth="1"/>
    <col min="12531" max="12531" width="8.54296875" style="736" customWidth="1"/>
    <col min="12532" max="12532" width="0" style="736" hidden="1" customWidth="1"/>
    <col min="12533" max="12533" width="8.54296875" style="736" customWidth="1"/>
    <col min="12534" max="12534" width="0" style="736" hidden="1" customWidth="1"/>
    <col min="12535" max="12535" width="8.54296875" style="736" customWidth="1"/>
    <col min="12536" max="12536" width="0" style="736" hidden="1" customWidth="1"/>
    <col min="12537" max="12537" width="8.54296875" style="736" customWidth="1"/>
    <col min="12538" max="12538" width="14.453125" style="736" customWidth="1"/>
    <col min="12539" max="12543" width="12.54296875" style="736"/>
    <col min="12544" max="12544" width="9.1796875" style="736" customWidth="1"/>
    <col min="12545" max="12545" width="41.81640625" style="736" customWidth="1"/>
    <col min="12546" max="12546" width="13.453125" style="736" bestFit="1" customWidth="1"/>
    <col min="12547" max="12547" width="13.54296875" style="736" customWidth="1"/>
    <col min="12548" max="12548" width="11" style="736" bestFit="1" customWidth="1"/>
    <col min="12549" max="12550" width="14" style="736" customWidth="1"/>
    <col min="12551" max="12551" width="7.81640625" style="736" customWidth="1"/>
    <col min="12552" max="12552" width="11.81640625" style="736" bestFit="1" customWidth="1"/>
    <col min="12553" max="12553" width="8.54296875" style="736" bestFit="1" customWidth="1"/>
    <col min="12554" max="12554" width="10" style="736" bestFit="1" customWidth="1"/>
    <col min="12555" max="12555" width="8.54296875" style="736" bestFit="1" customWidth="1"/>
    <col min="12556" max="12556" width="10.54296875" style="736" customWidth="1"/>
    <col min="12557" max="12557" width="7.54296875" style="736" bestFit="1" customWidth="1"/>
    <col min="12558" max="12558" width="8.54296875" style="736" bestFit="1" customWidth="1"/>
    <col min="12559" max="12559" width="2.54296875" style="736" customWidth="1"/>
    <col min="12560" max="12560" width="2.81640625" style="736" customWidth="1"/>
    <col min="12561" max="12778" width="9.1796875" style="736" customWidth="1"/>
    <col min="12779" max="12779" width="26.1796875" style="736" customWidth="1"/>
    <col min="12780" max="12780" width="9.81640625" style="736" customWidth="1"/>
    <col min="12781" max="12781" width="10.81640625" style="736" customWidth="1"/>
    <col min="12782" max="12782" width="9.1796875" style="736" customWidth="1"/>
    <col min="12783" max="12783" width="14.453125" style="736" customWidth="1"/>
    <col min="12784" max="12784" width="10.81640625" style="736" customWidth="1"/>
    <col min="12785" max="12785" width="8.54296875" style="736" customWidth="1"/>
    <col min="12786" max="12786" width="0" style="736" hidden="1" customWidth="1"/>
    <col min="12787" max="12787" width="8.54296875" style="736" customWidth="1"/>
    <col min="12788" max="12788" width="0" style="736" hidden="1" customWidth="1"/>
    <col min="12789" max="12789" width="8.54296875" style="736" customWidth="1"/>
    <col min="12790" max="12790" width="0" style="736" hidden="1" customWidth="1"/>
    <col min="12791" max="12791" width="8.54296875" style="736" customWidth="1"/>
    <col min="12792" max="12792" width="0" style="736" hidden="1" customWidth="1"/>
    <col min="12793" max="12793" width="8.54296875" style="736" customWidth="1"/>
    <col min="12794" max="12794" width="14.453125" style="736" customWidth="1"/>
    <col min="12795" max="12799" width="12.54296875" style="736"/>
    <col min="12800" max="12800" width="9.1796875" style="736" customWidth="1"/>
    <col min="12801" max="12801" width="41.81640625" style="736" customWidth="1"/>
    <col min="12802" max="12802" width="13.453125" style="736" bestFit="1" customWidth="1"/>
    <col min="12803" max="12803" width="13.54296875" style="736" customWidth="1"/>
    <col min="12804" max="12804" width="11" style="736" bestFit="1" customWidth="1"/>
    <col min="12805" max="12806" width="14" style="736" customWidth="1"/>
    <col min="12807" max="12807" width="7.81640625" style="736" customWidth="1"/>
    <col min="12808" max="12808" width="11.81640625" style="736" bestFit="1" customWidth="1"/>
    <col min="12809" max="12809" width="8.54296875" style="736" bestFit="1" customWidth="1"/>
    <col min="12810" max="12810" width="10" style="736" bestFit="1" customWidth="1"/>
    <col min="12811" max="12811" width="8.54296875" style="736" bestFit="1" customWidth="1"/>
    <col min="12812" max="12812" width="10.54296875" style="736" customWidth="1"/>
    <col min="12813" max="12813" width="7.54296875" style="736" bestFit="1" customWidth="1"/>
    <col min="12814" max="12814" width="8.54296875" style="736" bestFit="1" customWidth="1"/>
    <col min="12815" max="12815" width="2.54296875" style="736" customWidth="1"/>
    <col min="12816" max="12816" width="2.81640625" style="736" customWidth="1"/>
    <col min="12817" max="13034" width="9.1796875" style="736" customWidth="1"/>
    <col min="13035" max="13035" width="26.1796875" style="736" customWidth="1"/>
    <col min="13036" max="13036" width="9.81640625" style="736" customWidth="1"/>
    <col min="13037" max="13037" width="10.81640625" style="736" customWidth="1"/>
    <col min="13038" max="13038" width="9.1796875" style="736" customWidth="1"/>
    <col min="13039" max="13039" width="14.453125" style="736" customWidth="1"/>
    <col min="13040" max="13040" width="10.81640625" style="736" customWidth="1"/>
    <col min="13041" max="13041" width="8.54296875" style="736" customWidth="1"/>
    <col min="13042" max="13042" width="0" style="736" hidden="1" customWidth="1"/>
    <col min="13043" max="13043" width="8.54296875" style="736" customWidth="1"/>
    <col min="13044" max="13044" width="0" style="736" hidden="1" customWidth="1"/>
    <col min="13045" max="13045" width="8.54296875" style="736" customWidth="1"/>
    <col min="13046" max="13046" width="0" style="736" hidden="1" customWidth="1"/>
    <col min="13047" max="13047" width="8.54296875" style="736" customWidth="1"/>
    <col min="13048" max="13048" width="0" style="736" hidden="1" customWidth="1"/>
    <col min="13049" max="13049" width="8.54296875" style="736" customWidth="1"/>
    <col min="13050" max="13050" width="14.453125" style="736" customWidth="1"/>
    <col min="13051" max="13055" width="12.54296875" style="736"/>
    <col min="13056" max="13056" width="9.1796875" style="736" customWidth="1"/>
    <col min="13057" max="13057" width="41.81640625" style="736" customWidth="1"/>
    <col min="13058" max="13058" width="13.453125" style="736" bestFit="1" customWidth="1"/>
    <col min="13059" max="13059" width="13.54296875" style="736" customWidth="1"/>
    <col min="13060" max="13060" width="11" style="736" bestFit="1" customWidth="1"/>
    <col min="13061" max="13062" width="14" style="736" customWidth="1"/>
    <col min="13063" max="13063" width="7.81640625" style="736" customWidth="1"/>
    <col min="13064" max="13064" width="11.81640625" style="736" bestFit="1" customWidth="1"/>
    <col min="13065" max="13065" width="8.54296875" style="736" bestFit="1" customWidth="1"/>
    <col min="13066" max="13066" width="10" style="736" bestFit="1" customWidth="1"/>
    <col min="13067" max="13067" width="8.54296875" style="736" bestFit="1" customWidth="1"/>
    <col min="13068" max="13068" width="10.54296875" style="736" customWidth="1"/>
    <col min="13069" max="13069" width="7.54296875" style="736" bestFit="1" customWidth="1"/>
    <col min="13070" max="13070" width="8.54296875" style="736" bestFit="1" customWidth="1"/>
    <col min="13071" max="13071" width="2.54296875" style="736" customWidth="1"/>
    <col min="13072" max="13072" width="2.81640625" style="736" customWidth="1"/>
    <col min="13073" max="13290" width="9.1796875" style="736" customWidth="1"/>
    <col min="13291" max="13291" width="26.1796875" style="736" customWidth="1"/>
    <col min="13292" max="13292" width="9.81640625" style="736" customWidth="1"/>
    <col min="13293" max="13293" width="10.81640625" style="736" customWidth="1"/>
    <col min="13294" max="13294" width="9.1796875" style="736" customWidth="1"/>
    <col min="13295" max="13295" width="14.453125" style="736" customWidth="1"/>
    <col min="13296" max="13296" width="10.81640625" style="736" customWidth="1"/>
    <col min="13297" max="13297" width="8.54296875" style="736" customWidth="1"/>
    <col min="13298" max="13298" width="0" style="736" hidden="1" customWidth="1"/>
    <col min="13299" max="13299" width="8.54296875" style="736" customWidth="1"/>
    <col min="13300" max="13300" width="0" style="736" hidden="1" customWidth="1"/>
    <col min="13301" max="13301" width="8.54296875" style="736" customWidth="1"/>
    <col min="13302" max="13302" width="0" style="736" hidden="1" customWidth="1"/>
    <col min="13303" max="13303" width="8.54296875" style="736" customWidth="1"/>
    <col min="13304" max="13304" width="0" style="736" hidden="1" customWidth="1"/>
    <col min="13305" max="13305" width="8.54296875" style="736" customWidth="1"/>
    <col min="13306" max="13306" width="14.453125" style="736" customWidth="1"/>
    <col min="13307" max="13311" width="12.54296875" style="736"/>
    <col min="13312" max="13312" width="9.1796875" style="736" customWidth="1"/>
    <col min="13313" max="13313" width="41.81640625" style="736" customWidth="1"/>
    <col min="13314" max="13314" width="13.453125" style="736" bestFit="1" customWidth="1"/>
    <col min="13315" max="13315" width="13.54296875" style="736" customWidth="1"/>
    <col min="13316" max="13316" width="11" style="736" bestFit="1" customWidth="1"/>
    <col min="13317" max="13318" width="14" style="736" customWidth="1"/>
    <col min="13319" max="13319" width="7.81640625" style="736" customWidth="1"/>
    <col min="13320" max="13320" width="11.81640625" style="736" bestFit="1" customWidth="1"/>
    <col min="13321" max="13321" width="8.54296875" style="736" bestFit="1" customWidth="1"/>
    <col min="13322" max="13322" width="10" style="736" bestFit="1" customWidth="1"/>
    <col min="13323" max="13323" width="8.54296875" style="736" bestFit="1" customWidth="1"/>
    <col min="13324" max="13324" width="10.54296875" style="736" customWidth="1"/>
    <col min="13325" max="13325" width="7.54296875" style="736" bestFit="1" customWidth="1"/>
    <col min="13326" max="13326" width="8.54296875" style="736" bestFit="1" customWidth="1"/>
    <col min="13327" max="13327" width="2.54296875" style="736" customWidth="1"/>
    <col min="13328" max="13328" width="2.81640625" style="736" customWidth="1"/>
    <col min="13329" max="13546" width="9.1796875" style="736" customWidth="1"/>
    <col min="13547" max="13547" width="26.1796875" style="736" customWidth="1"/>
    <col min="13548" max="13548" width="9.81640625" style="736" customWidth="1"/>
    <col min="13549" max="13549" width="10.81640625" style="736" customWidth="1"/>
    <col min="13550" max="13550" width="9.1796875" style="736" customWidth="1"/>
    <col min="13551" max="13551" width="14.453125" style="736" customWidth="1"/>
    <col min="13552" max="13552" width="10.81640625" style="736" customWidth="1"/>
    <col min="13553" max="13553" width="8.54296875" style="736" customWidth="1"/>
    <col min="13554" max="13554" width="0" style="736" hidden="1" customWidth="1"/>
    <col min="13555" max="13555" width="8.54296875" style="736" customWidth="1"/>
    <col min="13556" max="13556" width="0" style="736" hidden="1" customWidth="1"/>
    <col min="13557" max="13557" width="8.54296875" style="736" customWidth="1"/>
    <col min="13558" max="13558" width="0" style="736" hidden="1" customWidth="1"/>
    <col min="13559" max="13559" width="8.54296875" style="736" customWidth="1"/>
    <col min="13560" max="13560" width="0" style="736" hidden="1" customWidth="1"/>
    <col min="13561" max="13561" width="8.54296875" style="736" customWidth="1"/>
    <col min="13562" max="13562" width="14.453125" style="736" customWidth="1"/>
    <col min="13563" max="13567" width="12.54296875" style="736"/>
    <col min="13568" max="13568" width="9.1796875" style="736" customWidth="1"/>
    <col min="13569" max="13569" width="41.81640625" style="736" customWidth="1"/>
    <col min="13570" max="13570" width="13.453125" style="736" bestFit="1" customWidth="1"/>
    <col min="13571" max="13571" width="13.54296875" style="736" customWidth="1"/>
    <col min="13572" max="13572" width="11" style="736" bestFit="1" customWidth="1"/>
    <col min="13573" max="13574" width="14" style="736" customWidth="1"/>
    <col min="13575" max="13575" width="7.81640625" style="736" customWidth="1"/>
    <col min="13576" max="13576" width="11.81640625" style="736" bestFit="1" customWidth="1"/>
    <col min="13577" max="13577" width="8.54296875" style="736" bestFit="1" customWidth="1"/>
    <col min="13578" max="13578" width="10" style="736" bestFit="1" customWidth="1"/>
    <col min="13579" max="13579" width="8.54296875" style="736" bestFit="1" customWidth="1"/>
    <col min="13580" max="13580" width="10.54296875" style="736" customWidth="1"/>
    <col min="13581" max="13581" width="7.54296875" style="736" bestFit="1" customWidth="1"/>
    <col min="13582" max="13582" width="8.54296875" style="736" bestFit="1" customWidth="1"/>
    <col min="13583" max="13583" width="2.54296875" style="736" customWidth="1"/>
    <col min="13584" max="13584" width="2.81640625" style="736" customWidth="1"/>
    <col min="13585" max="13802" width="9.1796875" style="736" customWidth="1"/>
    <col min="13803" max="13803" width="26.1796875" style="736" customWidth="1"/>
    <col min="13804" max="13804" width="9.81640625" style="736" customWidth="1"/>
    <col min="13805" max="13805" width="10.81640625" style="736" customWidth="1"/>
    <col min="13806" max="13806" width="9.1796875" style="736" customWidth="1"/>
    <col min="13807" max="13807" width="14.453125" style="736" customWidth="1"/>
    <col min="13808" max="13808" width="10.81640625" style="736" customWidth="1"/>
    <col min="13809" max="13809" width="8.54296875" style="736" customWidth="1"/>
    <col min="13810" max="13810" width="0" style="736" hidden="1" customWidth="1"/>
    <col min="13811" max="13811" width="8.54296875" style="736" customWidth="1"/>
    <col min="13812" max="13812" width="0" style="736" hidden="1" customWidth="1"/>
    <col min="13813" max="13813" width="8.54296875" style="736" customWidth="1"/>
    <col min="13814" max="13814" width="0" style="736" hidden="1" customWidth="1"/>
    <col min="13815" max="13815" width="8.54296875" style="736" customWidth="1"/>
    <col min="13816" max="13816" width="0" style="736" hidden="1" customWidth="1"/>
    <col min="13817" max="13817" width="8.54296875" style="736" customWidth="1"/>
    <col min="13818" max="13818" width="14.453125" style="736" customWidth="1"/>
    <col min="13819" max="13823" width="12.54296875" style="736"/>
    <col min="13824" max="13824" width="9.1796875" style="736" customWidth="1"/>
    <col min="13825" max="13825" width="41.81640625" style="736" customWidth="1"/>
    <col min="13826" max="13826" width="13.453125" style="736" bestFit="1" customWidth="1"/>
    <col min="13827" max="13827" width="13.54296875" style="736" customWidth="1"/>
    <col min="13828" max="13828" width="11" style="736" bestFit="1" customWidth="1"/>
    <col min="13829" max="13830" width="14" style="736" customWidth="1"/>
    <col min="13831" max="13831" width="7.81640625" style="736" customWidth="1"/>
    <col min="13832" max="13832" width="11.81640625" style="736" bestFit="1" customWidth="1"/>
    <col min="13833" max="13833" width="8.54296875" style="736" bestFit="1" customWidth="1"/>
    <col min="13834" max="13834" width="10" style="736" bestFit="1" customWidth="1"/>
    <col min="13835" max="13835" width="8.54296875" style="736" bestFit="1" customWidth="1"/>
    <col min="13836" max="13836" width="10.54296875" style="736" customWidth="1"/>
    <col min="13837" max="13837" width="7.54296875" style="736" bestFit="1" customWidth="1"/>
    <col min="13838" max="13838" width="8.54296875" style="736" bestFit="1" customWidth="1"/>
    <col min="13839" max="13839" width="2.54296875" style="736" customWidth="1"/>
    <col min="13840" max="13840" width="2.81640625" style="736" customWidth="1"/>
    <col min="13841" max="14058" width="9.1796875" style="736" customWidth="1"/>
    <col min="14059" max="14059" width="26.1796875" style="736" customWidth="1"/>
    <col min="14060" max="14060" width="9.81640625" style="736" customWidth="1"/>
    <col min="14061" max="14061" width="10.81640625" style="736" customWidth="1"/>
    <col min="14062" max="14062" width="9.1796875" style="736" customWidth="1"/>
    <col min="14063" max="14063" width="14.453125" style="736" customWidth="1"/>
    <col min="14064" max="14064" width="10.81640625" style="736" customWidth="1"/>
    <col min="14065" max="14065" width="8.54296875" style="736" customWidth="1"/>
    <col min="14066" max="14066" width="0" style="736" hidden="1" customWidth="1"/>
    <col min="14067" max="14067" width="8.54296875" style="736" customWidth="1"/>
    <col min="14068" max="14068" width="0" style="736" hidden="1" customWidth="1"/>
    <col min="14069" max="14069" width="8.54296875" style="736" customWidth="1"/>
    <col min="14070" max="14070" width="0" style="736" hidden="1" customWidth="1"/>
    <col min="14071" max="14071" width="8.54296875" style="736" customWidth="1"/>
    <col min="14072" max="14072" width="0" style="736" hidden="1" customWidth="1"/>
    <col min="14073" max="14073" width="8.54296875" style="736" customWidth="1"/>
    <col min="14074" max="14074" width="14.453125" style="736" customWidth="1"/>
    <col min="14075" max="14079" width="12.54296875" style="736"/>
    <col min="14080" max="14080" width="9.1796875" style="736" customWidth="1"/>
    <col min="14081" max="14081" width="41.81640625" style="736" customWidth="1"/>
    <col min="14082" max="14082" width="13.453125" style="736" bestFit="1" customWidth="1"/>
    <col min="14083" max="14083" width="13.54296875" style="736" customWidth="1"/>
    <col min="14084" max="14084" width="11" style="736" bestFit="1" customWidth="1"/>
    <col min="14085" max="14086" width="14" style="736" customWidth="1"/>
    <col min="14087" max="14087" width="7.81640625" style="736" customWidth="1"/>
    <col min="14088" max="14088" width="11.81640625" style="736" bestFit="1" customWidth="1"/>
    <col min="14089" max="14089" width="8.54296875" style="736" bestFit="1" customWidth="1"/>
    <col min="14090" max="14090" width="10" style="736" bestFit="1" customWidth="1"/>
    <col min="14091" max="14091" width="8.54296875" style="736" bestFit="1" customWidth="1"/>
    <col min="14092" max="14092" width="10.54296875" style="736" customWidth="1"/>
    <col min="14093" max="14093" width="7.54296875" style="736" bestFit="1" customWidth="1"/>
    <col min="14094" max="14094" width="8.54296875" style="736" bestFit="1" customWidth="1"/>
    <col min="14095" max="14095" width="2.54296875" style="736" customWidth="1"/>
    <col min="14096" max="14096" width="2.81640625" style="736" customWidth="1"/>
    <col min="14097" max="14314" width="9.1796875" style="736" customWidth="1"/>
    <col min="14315" max="14315" width="26.1796875" style="736" customWidth="1"/>
    <col min="14316" max="14316" width="9.81640625" style="736" customWidth="1"/>
    <col min="14317" max="14317" width="10.81640625" style="736" customWidth="1"/>
    <col min="14318" max="14318" width="9.1796875" style="736" customWidth="1"/>
    <col min="14319" max="14319" width="14.453125" style="736" customWidth="1"/>
    <col min="14320" max="14320" width="10.81640625" style="736" customWidth="1"/>
    <col min="14321" max="14321" width="8.54296875" style="736" customWidth="1"/>
    <col min="14322" max="14322" width="0" style="736" hidden="1" customWidth="1"/>
    <col min="14323" max="14323" width="8.54296875" style="736" customWidth="1"/>
    <col min="14324" max="14324" width="0" style="736" hidden="1" customWidth="1"/>
    <col min="14325" max="14325" width="8.54296875" style="736" customWidth="1"/>
    <col min="14326" max="14326" width="0" style="736" hidden="1" customWidth="1"/>
    <col min="14327" max="14327" width="8.54296875" style="736" customWidth="1"/>
    <col min="14328" max="14328" width="0" style="736" hidden="1" customWidth="1"/>
    <col min="14329" max="14329" width="8.54296875" style="736" customWidth="1"/>
    <col min="14330" max="14330" width="14.453125" style="736" customWidth="1"/>
    <col min="14331" max="14335" width="12.54296875" style="736"/>
    <col min="14336" max="14336" width="9.1796875" style="736" customWidth="1"/>
    <col min="14337" max="14337" width="41.81640625" style="736" customWidth="1"/>
    <col min="14338" max="14338" width="13.453125" style="736" bestFit="1" customWidth="1"/>
    <col min="14339" max="14339" width="13.54296875" style="736" customWidth="1"/>
    <col min="14340" max="14340" width="11" style="736" bestFit="1" customWidth="1"/>
    <col min="14341" max="14342" width="14" style="736" customWidth="1"/>
    <col min="14343" max="14343" width="7.81640625" style="736" customWidth="1"/>
    <col min="14344" max="14344" width="11.81640625" style="736" bestFit="1" customWidth="1"/>
    <col min="14345" max="14345" width="8.54296875" style="736" bestFit="1" customWidth="1"/>
    <col min="14346" max="14346" width="10" style="736" bestFit="1" customWidth="1"/>
    <col min="14347" max="14347" width="8.54296875" style="736" bestFit="1" customWidth="1"/>
    <col min="14348" max="14348" width="10.54296875" style="736" customWidth="1"/>
    <col min="14349" max="14349" width="7.54296875" style="736" bestFit="1" customWidth="1"/>
    <col min="14350" max="14350" width="8.54296875" style="736" bestFit="1" customWidth="1"/>
    <col min="14351" max="14351" width="2.54296875" style="736" customWidth="1"/>
    <col min="14352" max="14352" width="2.81640625" style="736" customWidth="1"/>
    <col min="14353" max="14570" width="9.1796875" style="736" customWidth="1"/>
    <col min="14571" max="14571" width="26.1796875" style="736" customWidth="1"/>
    <col min="14572" max="14572" width="9.81640625" style="736" customWidth="1"/>
    <col min="14573" max="14573" width="10.81640625" style="736" customWidth="1"/>
    <col min="14574" max="14574" width="9.1796875" style="736" customWidth="1"/>
    <col min="14575" max="14575" width="14.453125" style="736" customWidth="1"/>
    <col min="14576" max="14576" width="10.81640625" style="736" customWidth="1"/>
    <col min="14577" max="14577" width="8.54296875" style="736" customWidth="1"/>
    <col min="14578" max="14578" width="0" style="736" hidden="1" customWidth="1"/>
    <col min="14579" max="14579" width="8.54296875" style="736" customWidth="1"/>
    <col min="14580" max="14580" width="0" style="736" hidden="1" customWidth="1"/>
    <col min="14581" max="14581" width="8.54296875" style="736" customWidth="1"/>
    <col min="14582" max="14582" width="0" style="736" hidden="1" customWidth="1"/>
    <col min="14583" max="14583" width="8.54296875" style="736" customWidth="1"/>
    <col min="14584" max="14584" width="0" style="736" hidden="1" customWidth="1"/>
    <col min="14585" max="14585" width="8.54296875" style="736" customWidth="1"/>
    <col min="14586" max="14586" width="14.453125" style="736" customWidth="1"/>
    <col min="14587" max="14591" width="12.54296875" style="736"/>
    <col min="14592" max="14592" width="9.1796875" style="736" customWidth="1"/>
    <col min="14593" max="14593" width="41.81640625" style="736" customWidth="1"/>
    <col min="14594" max="14594" width="13.453125" style="736" bestFit="1" customWidth="1"/>
    <col min="14595" max="14595" width="13.54296875" style="736" customWidth="1"/>
    <col min="14596" max="14596" width="11" style="736" bestFit="1" customWidth="1"/>
    <col min="14597" max="14598" width="14" style="736" customWidth="1"/>
    <col min="14599" max="14599" width="7.81640625" style="736" customWidth="1"/>
    <col min="14600" max="14600" width="11.81640625" style="736" bestFit="1" customWidth="1"/>
    <col min="14601" max="14601" width="8.54296875" style="736" bestFit="1" customWidth="1"/>
    <col min="14602" max="14602" width="10" style="736" bestFit="1" customWidth="1"/>
    <col min="14603" max="14603" width="8.54296875" style="736" bestFit="1" customWidth="1"/>
    <col min="14604" max="14604" width="10.54296875" style="736" customWidth="1"/>
    <col min="14605" max="14605" width="7.54296875" style="736" bestFit="1" customWidth="1"/>
    <col min="14606" max="14606" width="8.54296875" style="736" bestFit="1" customWidth="1"/>
    <col min="14607" max="14607" width="2.54296875" style="736" customWidth="1"/>
    <col min="14608" max="14608" width="2.81640625" style="736" customWidth="1"/>
    <col min="14609" max="14826" width="9.1796875" style="736" customWidth="1"/>
    <col min="14827" max="14827" width="26.1796875" style="736" customWidth="1"/>
    <col min="14828" max="14828" width="9.81640625" style="736" customWidth="1"/>
    <col min="14829" max="14829" width="10.81640625" style="736" customWidth="1"/>
    <col min="14830" max="14830" width="9.1796875" style="736" customWidth="1"/>
    <col min="14831" max="14831" width="14.453125" style="736" customWidth="1"/>
    <col min="14832" max="14832" width="10.81640625" style="736" customWidth="1"/>
    <col min="14833" max="14833" width="8.54296875" style="736" customWidth="1"/>
    <col min="14834" max="14834" width="0" style="736" hidden="1" customWidth="1"/>
    <col min="14835" max="14835" width="8.54296875" style="736" customWidth="1"/>
    <col min="14836" max="14836" width="0" style="736" hidden="1" customWidth="1"/>
    <col min="14837" max="14837" width="8.54296875" style="736" customWidth="1"/>
    <col min="14838" max="14838" width="0" style="736" hidden="1" customWidth="1"/>
    <col min="14839" max="14839" width="8.54296875" style="736" customWidth="1"/>
    <col min="14840" max="14840" width="0" style="736" hidden="1" customWidth="1"/>
    <col min="14841" max="14841" width="8.54296875" style="736" customWidth="1"/>
    <col min="14842" max="14842" width="14.453125" style="736" customWidth="1"/>
    <col min="14843" max="14847" width="12.54296875" style="736"/>
    <col min="14848" max="14848" width="9.1796875" style="736" customWidth="1"/>
    <col min="14849" max="14849" width="41.81640625" style="736" customWidth="1"/>
    <col min="14850" max="14850" width="13.453125" style="736" bestFit="1" customWidth="1"/>
    <col min="14851" max="14851" width="13.54296875" style="736" customWidth="1"/>
    <col min="14852" max="14852" width="11" style="736" bestFit="1" customWidth="1"/>
    <col min="14853" max="14854" width="14" style="736" customWidth="1"/>
    <col min="14855" max="14855" width="7.81640625" style="736" customWidth="1"/>
    <col min="14856" max="14856" width="11.81640625" style="736" bestFit="1" customWidth="1"/>
    <col min="14857" max="14857" width="8.54296875" style="736" bestFit="1" customWidth="1"/>
    <col min="14858" max="14858" width="10" style="736" bestFit="1" customWidth="1"/>
    <col min="14859" max="14859" width="8.54296875" style="736" bestFit="1" customWidth="1"/>
    <col min="14860" max="14860" width="10.54296875" style="736" customWidth="1"/>
    <col min="14861" max="14861" width="7.54296875" style="736" bestFit="1" customWidth="1"/>
    <col min="14862" max="14862" width="8.54296875" style="736" bestFit="1" customWidth="1"/>
    <col min="14863" max="14863" width="2.54296875" style="736" customWidth="1"/>
    <col min="14864" max="14864" width="2.81640625" style="736" customWidth="1"/>
    <col min="14865" max="15082" width="9.1796875" style="736" customWidth="1"/>
    <col min="15083" max="15083" width="26.1796875" style="736" customWidth="1"/>
    <col min="15084" max="15084" width="9.81640625" style="736" customWidth="1"/>
    <col min="15085" max="15085" width="10.81640625" style="736" customWidth="1"/>
    <col min="15086" max="15086" width="9.1796875" style="736" customWidth="1"/>
    <col min="15087" max="15087" width="14.453125" style="736" customWidth="1"/>
    <col min="15088" max="15088" width="10.81640625" style="736" customWidth="1"/>
    <col min="15089" max="15089" width="8.54296875" style="736" customWidth="1"/>
    <col min="15090" max="15090" width="0" style="736" hidden="1" customWidth="1"/>
    <col min="15091" max="15091" width="8.54296875" style="736" customWidth="1"/>
    <col min="15092" max="15092" width="0" style="736" hidden="1" customWidth="1"/>
    <col min="15093" max="15093" width="8.54296875" style="736" customWidth="1"/>
    <col min="15094" max="15094" width="0" style="736" hidden="1" customWidth="1"/>
    <col min="15095" max="15095" width="8.54296875" style="736" customWidth="1"/>
    <col min="15096" max="15096" width="0" style="736" hidden="1" customWidth="1"/>
    <col min="15097" max="15097" width="8.54296875" style="736" customWidth="1"/>
    <col min="15098" max="15098" width="14.453125" style="736" customWidth="1"/>
    <col min="15099" max="15103" width="12.54296875" style="736"/>
    <col min="15104" max="15104" width="9.1796875" style="736" customWidth="1"/>
    <col min="15105" max="15105" width="41.81640625" style="736" customWidth="1"/>
    <col min="15106" max="15106" width="13.453125" style="736" bestFit="1" customWidth="1"/>
    <col min="15107" max="15107" width="13.54296875" style="736" customWidth="1"/>
    <col min="15108" max="15108" width="11" style="736" bestFit="1" customWidth="1"/>
    <col min="15109" max="15110" width="14" style="736" customWidth="1"/>
    <col min="15111" max="15111" width="7.81640625" style="736" customWidth="1"/>
    <col min="15112" max="15112" width="11.81640625" style="736" bestFit="1" customWidth="1"/>
    <col min="15113" max="15113" width="8.54296875" style="736" bestFit="1" customWidth="1"/>
    <col min="15114" max="15114" width="10" style="736" bestFit="1" customWidth="1"/>
    <col min="15115" max="15115" width="8.54296875" style="736" bestFit="1" customWidth="1"/>
    <col min="15116" max="15116" width="10.54296875" style="736" customWidth="1"/>
    <col min="15117" max="15117" width="7.54296875" style="736" bestFit="1" customWidth="1"/>
    <col min="15118" max="15118" width="8.54296875" style="736" bestFit="1" customWidth="1"/>
    <col min="15119" max="15119" width="2.54296875" style="736" customWidth="1"/>
    <col min="15120" max="15120" width="2.81640625" style="736" customWidth="1"/>
    <col min="15121" max="15338" width="9.1796875" style="736" customWidth="1"/>
    <col min="15339" max="15339" width="26.1796875" style="736" customWidth="1"/>
    <col min="15340" max="15340" width="9.81640625" style="736" customWidth="1"/>
    <col min="15341" max="15341" width="10.81640625" style="736" customWidth="1"/>
    <col min="15342" max="15342" width="9.1796875" style="736" customWidth="1"/>
    <col min="15343" max="15343" width="14.453125" style="736" customWidth="1"/>
    <col min="15344" max="15344" width="10.81640625" style="736" customWidth="1"/>
    <col min="15345" max="15345" width="8.54296875" style="736" customWidth="1"/>
    <col min="15346" max="15346" width="0" style="736" hidden="1" customWidth="1"/>
    <col min="15347" max="15347" width="8.54296875" style="736" customWidth="1"/>
    <col min="15348" max="15348" width="0" style="736" hidden="1" customWidth="1"/>
    <col min="15349" max="15349" width="8.54296875" style="736" customWidth="1"/>
    <col min="15350" max="15350" width="0" style="736" hidden="1" customWidth="1"/>
    <col min="15351" max="15351" width="8.54296875" style="736" customWidth="1"/>
    <col min="15352" max="15352" width="0" style="736" hidden="1" customWidth="1"/>
    <col min="15353" max="15353" width="8.54296875" style="736" customWidth="1"/>
    <col min="15354" max="15354" width="14.453125" style="736" customWidth="1"/>
    <col min="15355" max="15359" width="12.54296875" style="736"/>
    <col min="15360" max="15360" width="9.1796875" style="736" customWidth="1"/>
    <col min="15361" max="15361" width="41.81640625" style="736" customWidth="1"/>
    <col min="15362" max="15362" width="13.453125" style="736" bestFit="1" customWidth="1"/>
    <col min="15363" max="15363" width="13.54296875" style="736" customWidth="1"/>
    <col min="15364" max="15364" width="11" style="736" bestFit="1" customWidth="1"/>
    <col min="15365" max="15366" width="14" style="736" customWidth="1"/>
    <col min="15367" max="15367" width="7.81640625" style="736" customWidth="1"/>
    <col min="15368" max="15368" width="11.81640625" style="736" bestFit="1" customWidth="1"/>
    <col min="15369" max="15369" width="8.54296875" style="736" bestFit="1" customWidth="1"/>
    <col min="15370" max="15370" width="10" style="736" bestFit="1" customWidth="1"/>
    <col min="15371" max="15371" width="8.54296875" style="736" bestFit="1" customWidth="1"/>
    <col min="15372" max="15372" width="10.54296875" style="736" customWidth="1"/>
    <col min="15373" max="15373" width="7.54296875" style="736" bestFit="1" customWidth="1"/>
    <col min="15374" max="15374" width="8.54296875" style="736" bestFit="1" customWidth="1"/>
    <col min="15375" max="15375" width="2.54296875" style="736" customWidth="1"/>
    <col min="15376" max="15376" width="2.81640625" style="736" customWidth="1"/>
    <col min="15377" max="15594" width="9.1796875" style="736" customWidth="1"/>
    <col min="15595" max="15595" width="26.1796875" style="736" customWidth="1"/>
    <col min="15596" max="15596" width="9.81640625" style="736" customWidth="1"/>
    <col min="15597" max="15597" width="10.81640625" style="736" customWidth="1"/>
    <col min="15598" max="15598" width="9.1796875" style="736" customWidth="1"/>
    <col min="15599" max="15599" width="14.453125" style="736" customWidth="1"/>
    <col min="15600" max="15600" width="10.81640625" style="736" customWidth="1"/>
    <col min="15601" max="15601" width="8.54296875" style="736" customWidth="1"/>
    <col min="15602" max="15602" width="0" style="736" hidden="1" customWidth="1"/>
    <col min="15603" max="15603" width="8.54296875" style="736" customWidth="1"/>
    <col min="15604" max="15604" width="0" style="736" hidden="1" customWidth="1"/>
    <col min="15605" max="15605" width="8.54296875" style="736" customWidth="1"/>
    <col min="15606" max="15606" width="0" style="736" hidden="1" customWidth="1"/>
    <col min="15607" max="15607" width="8.54296875" style="736" customWidth="1"/>
    <col min="15608" max="15608" width="0" style="736" hidden="1" customWidth="1"/>
    <col min="15609" max="15609" width="8.54296875" style="736" customWidth="1"/>
    <col min="15610" max="15610" width="14.453125" style="736" customWidth="1"/>
    <col min="15611" max="15615" width="12.54296875" style="736"/>
    <col min="15616" max="15616" width="9.1796875" style="736" customWidth="1"/>
    <col min="15617" max="15617" width="41.81640625" style="736" customWidth="1"/>
    <col min="15618" max="15618" width="13.453125" style="736" bestFit="1" customWidth="1"/>
    <col min="15619" max="15619" width="13.54296875" style="736" customWidth="1"/>
    <col min="15620" max="15620" width="11" style="736" bestFit="1" customWidth="1"/>
    <col min="15621" max="15622" width="14" style="736" customWidth="1"/>
    <col min="15623" max="15623" width="7.81640625" style="736" customWidth="1"/>
    <col min="15624" max="15624" width="11.81640625" style="736" bestFit="1" customWidth="1"/>
    <col min="15625" max="15625" width="8.54296875" style="736" bestFit="1" customWidth="1"/>
    <col min="15626" max="15626" width="10" style="736" bestFit="1" customWidth="1"/>
    <col min="15627" max="15627" width="8.54296875" style="736" bestFit="1" customWidth="1"/>
    <col min="15628" max="15628" width="10.54296875" style="736" customWidth="1"/>
    <col min="15629" max="15629" width="7.54296875" style="736" bestFit="1" customWidth="1"/>
    <col min="15630" max="15630" width="8.54296875" style="736" bestFit="1" customWidth="1"/>
    <col min="15631" max="15631" width="2.54296875" style="736" customWidth="1"/>
    <col min="15632" max="15632" width="2.81640625" style="736" customWidth="1"/>
    <col min="15633" max="15850" width="9.1796875" style="736" customWidth="1"/>
    <col min="15851" max="15851" width="26.1796875" style="736" customWidth="1"/>
    <col min="15852" max="15852" width="9.81640625" style="736" customWidth="1"/>
    <col min="15853" max="15853" width="10.81640625" style="736" customWidth="1"/>
    <col min="15854" max="15854" width="9.1796875" style="736" customWidth="1"/>
    <col min="15855" max="15855" width="14.453125" style="736" customWidth="1"/>
    <col min="15856" max="15856" width="10.81640625" style="736" customWidth="1"/>
    <col min="15857" max="15857" width="8.54296875" style="736" customWidth="1"/>
    <col min="15858" max="15858" width="0" style="736" hidden="1" customWidth="1"/>
    <col min="15859" max="15859" width="8.54296875" style="736" customWidth="1"/>
    <col min="15860" max="15860" width="0" style="736" hidden="1" customWidth="1"/>
    <col min="15861" max="15861" width="8.54296875" style="736" customWidth="1"/>
    <col min="15862" max="15862" width="0" style="736" hidden="1" customWidth="1"/>
    <col min="15863" max="15863" width="8.54296875" style="736" customWidth="1"/>
    <col min="15864" max="15864" width="0" style="736" hidden="1" customWidth="1"/>
    <col min="15865" max="15865" width="8.54296875" style="736" customWidth="1"/>
    <col min="15866" max="15866" width="14.453125" style="736" customWidth="1"/>
    <col min="15867" max="15871" width="12.54296875" style="736"/>
    <col min="15872" max="15872" width="9.1796875" style="736" customWidth="1"/>
    <col min="15873" max="15873" width="41.81640625" style="736" customWidth="1"/>
    <col min="15874" max="15874" width="13.453125" style="736" bestFit="1" customWidth="1"/>
    <col min="15875" max="15875" width="13.54296875" style="736" customWidth="1"/>
    <col min="15876" max="15876" width="11" style="736" bestFit="1" customWidth="1"/>
    <col min="15877" max="15878" width="14" style="736" customWidth="1"/>
    <col min="15879" max="15879" width="7.81640625" style="736" customWidth="1"/>
    <col min="15880" max="15880" width="11.81640625" style="736" bestFit="1" customWidth="1"/>
    <col min="15881" max="15881" width="8.54296875" style="736" bestFit="1" customWidth="1"/>
    <col min="15882" max="15882" width="10" style="736" bestFit="1" customWidth="1"/>
    <col min="15883" max="15883" width="8.54296875" style="736" bestFit="1" customWidth="1"/>
    <col min="15884" max="15884" width="10.54296875" style="736" customWidth="1"/>
    <col min="15885" max="15885" width="7.54296875" style="736" bestFit="1" customWidth="1"/>
    <col min="15886" max="15886" width="8.54296875" style="736" bestFit="1" customWidth="1"/>
    <col min="15887" max="15887" width="2.54296875" style="736" customWidth="1"/>
    <col min="15888" max="15888" width="2.81640625" style="736" customWidth="1"/>
    <col min="15889" max="16106" width="9.1796875" style="736" customWidth="1"/>
    <col min="16107" max="16107" width="26.1796875" style="736" customWidth="1"/>
    <col min="16108" max="16108" width="9.81640625" style="736" customWidth="1"/>
    <col min="16109" max="16109" width="10.81640625" style="736" customWidth="1"/>
    <col min="16110" max="16110" width="9.1796875" style="736" customWidth="1"/>
    <col min="16111" max="16111" width="14.453125" style="736" customWidth="1"/>
    <col min="16112" max="16112" width="10.81640625" style="736" customWidth="1"/>
    <col min="16113" max="16113" width="8.54296875" style="736" customWidth="1"/>
    <col min="16114" max="16114" width="0" style="736" hidden="1" customWidth="1"/>
    <col min="16115" max="16115" width="8.54296875" style="736" customWidth="1"/>
    <col min="16116" max="16116" width="0" style="736" hidden="1" customWidth="1"/>
    <col min="16117" max="16117" width="8.54296875" style="736" customWidth="1"/>
    <col min="16118" max="16118" width="0" style="736" hidden="1" customWidth="1"/>
    <col min="16119" max="16119" width="8.54296875" style="736" customWidth="1"/>
    <col min="16120" max="16120" width="0" style="736" hidden="1" customWidth="1"/>
    <col min="16121" max="16121" width="8.54296875" style="736" customWidth="1"/>
    <col min="16122" max="16122" width="14.453125" style="736" customWidth="1"/>
    <col min="16123" max="16127" width="12.54296875" style="736"/>
    <col min="16128" max="16128" width="9.1796875" style="736" customWidth="1"/>
    <col min="16129" max="16129" width="41.81640625" style="736" customWidth="1"/>
    <col min="16130" max="16130" width="13.453125" style="736" bestFit="1" customWidth="1"/>
    <col min="16131" max="16131" width="13.54296875" style="736" customWidth="1"/>
    <col min="16132" max="16132" width="11" style="736" bestFit="1" customWidth="1"/>
    <col min="16133" max="16134" width="14" style="736" customWidth="1"/>
    <col min="16135" max="16135" width="7.81640625" style="736" customWidth="1"/>
    <col min="16136" max="16136" width="11.81640625" style="736" bestFit="1" customWidth="1"/>
    <col min="16137" max="16137" width="8.54296875" style="736" bestFit="1" customWidth="1"/>
    <col min="16138" max="16138" width="10" style="736" bestFit="1" customWidth="1"/>
    <col min="16139" max="16139" width="8.54296875" style="736" bestFit="1" customWidth="1"/>
    <col min="16140" max="16140" width="10.54296875" style="736" customWidth="1"/>
    <col min="16141" max="16141" width="7.54296875" style="736" bestFit="1" customWidth="1"/>
    <col min="16142" max="16142" width="8.54296875" style="736" bestFit="1" customWidth="1"/>
    <col min="16143" max="16143" width="2.54296875" style="736" customWidth="1"/>
    <col min="16144" max="16144" width="2.81640625" style="736" customWidth="1"/>
    <col min="16145" max="16362" width="9.1796875" style="736" customWidth="1"/>
    <col min="16363" max="16363" width="26.1796875" style="736" customWidth="1"/>
    <col min="16364" max="16364" width="9.81640625" style="736" customWidth="1"/>
    <col min="16365" max="16365" width="10.81640625" style="736" customWidth="1"/>
    <col min="16366" max="16366" width="9.1796875" style="736" customWidth="1"/>
    <col min="16367" max="16367" width="14.453125" style="736" customWidth="1"/>
    <col min="16368" max="16368" width="10.81640625" style="736" customWidth="1"/>
    <col min="16369" max="16369" width="8.54296875" style="736" customWidth="1"/>
    <col min="16370" max="16370" width="0" style="736" hidden="1" customWidth="1"/>
    <col min="16371" max="16371" width="8.54296875" style="736" customWidth="1"/>
    <col min="16372" max="16372" width="0" style="736" hidden="1" customWidth="1"/>
    <col min="16373" max="16373" width="8.54296875" style="736" customWidth="1"/>
    <col min="16374" max="16374" width="0" style="736" hidden="1" customWidth="1"/>
    <col min="16375" max="16375" width="8.54296875" style="736" customWidth="1"/>
    <col min="16376" max="16376" width="0" style="736" hidden="1" customWidth="1"/>
    <col min="16377" max="16377" width="8.54296875" style="736" customWidth="1"/>
    <col min="16378" max="16378" width="14.453125" style="736" customWidth="1"/>
    <col min="16379" max="16384" width="12.54296875" style="736"/>
  </cols>
  <sheetData>
    <row r="2" spans="1:16" s="736" customFormat="1" ht="30.75" customHeight="1">
      <c r="A2" s="731"/>
      <c r="B2" s="732" t="s">
        <v>525</v>
      </c>
      <c r="C2" s="733"/>
      <c r="D2" s="733"/>
      <c r="E2" s="733"/>
      <c r="F2" s="733"/>
      <c r="G2" s="734"/>
      <c r="H2" s="735"/>
      <c r="I2" s="735"/>
      <c r="J2" s="735"/>
      <c r="K2" s="735"/>
      <c r="L2" s="735"/>
      <c r="M2" s="735"/>
      <c r="N2" s="735"/>
      <c r="O2" s="735"/>
      <c r="P2" s="735"/>
    </row>
    <row r="3" spans="1:16" s="736" customFormat="1" ht="13.5" customHeight="1">
      <c r="A3" s="737"/>
      <c r="B3" s="738"/>
      <c r="C3" s="739"/>
      <c r="E3" s="736" t="s">
        <v>447</v>
      </c>
      <c r="F3" s="740"/>
      <c r="G3" s="741">
        <v>2.5240999999999998</v>
      </c>
      <c r="H3" s="735"/>
      <c r="I3" s="735"/>
      <c r="J3" s="735"/>
      <c r="K3" s="735"/>
      <c r="L3" s="735"/>
      <c r="M3" s="735"/>
      <c r="N3" s="735"/>
      <c r="O3" s="735"/>
      <c r="P3" s="735"/>
    </row>
    <row r="4" spans="1:16" s="747" customFormat="1" ht="75.650000000000006" customHeight="1">
      <c r="A4" s="742"/>
      <c r="B4" s="743" t="s">
        <v>502</v>
      </c>
      <c r="C4" s="744"/>
      <c r="D4" s="744"/>
      <c r="E4" s="744"/>
      <c r="F4" s="744"/>
      <c r="G4" s="745"/>
      <c r="H4" s="735"/>
      <c r="I4" s="735"/>
      <c r="J4" s="746"/>
      <c r="K4" s="746"/>
      <c r="L4" s="746"/>
      <c r="M4" s="746"/>
      <c r="N4" s="746"/>
      <c r="O4" s="746"/>
      <c r="P4" s="746"/>
    </row>
    <row r="5" spans="1:16" s="747" customFormat="1" ht="42.75" customHeight="1">
      <c r="A5" s="742"/>
      <c r="B5" s="748" t="str">
        <f>'[27]2024-2027 Budget'!B68</f>
        <v xml:space="preserve">Objective 1: Enhancing Civic Participation, Accountability, and Inclusive Democracy by 2027 </v>
      </c>
      <c r="C5" s="749"/>
      <c r="D5" s="749"/>
      <c r="E5" s="749"/>
      <c r="F5" s="749"/>
      <c r="G5" s="750"/>
      <c r="H5" s="751"/>
      <c r="I5" s="735"/>
      <c r="J5" s="746"/>
      <c r="K5" s="746"/>
      <c r="L5" s="746"/>
      <c r="M5" s="746"/>
      <c r="N5" s="746"/>
      <c r="O5" s="746"/>
      <c r="P5" s="746"/>
    </row>
    <row r="6" spans="1:16" s="747" customFormat="1" ht="8.5" customHeight="1" thickBot="1">
      <c r="A6" s="742"/>
      <c r="B6" s="736"/>
      <c r="C6" s="752"/>
      <c r="D6" s="753"/>
      <c r="E6" s="753"/>
      <c r="F6" s="754"/>
      <c r="G6" s="736"/>
      <c r="H6" s="735"/>
      <c r="I6" s="735"/>
      <c r="J6" s="746"/>
      <c r="K6" s="746"/>
      <c r="L6" s="746"/>
      <c r="M6" s="746"/>
      <c r="N6" s="746"/>
      <c r="O6" s="746"/>
      <c r="P6" s="746"/>
    </row>
    <row r="7" spans="1:16" s="747" customFormat="1" ht="42.75" customHeight="1" thickBot="1">
      <c r="A7" s="742"/>
      <c r="B7" s="755" t="s">
        <v>448</v>
      </c>
      <c r="C7" s="756" t="s">
        <v>249</v>
      </c>
      <c r="D7" s="757" t="s">
        <v>449</v>
      </c>
      <c r="E7" s="757" t="s">
        <v>450</v>
      </c>
      <c r="F7" s="758" t="s">
        <v>451</v>
      </c>
      <c r="G7" s="759" t="s">
        <v>452</v>
      </c>
      <c r="H7" s="760" t="s">
        <v>453</v>
      </c>
      <c r="I7" s="735"/>
      <c r="J7" s="746"/>
      <c r="K7" s="746"/>
      <c r="L7" s="746"/>
      <c r="M7" s="746"/>
      <c r="N7" s="746"/>
      <c r="O7" s="746"/>
      <c r="P7" s="746"/>
    </row>
    <row r="8" spans="1:16" s="747" customFormat="1" ht="16.5" customHeight="1">
      <c r="A8" s="742"/>
      <c r="B8" s="761" t="s">
        <v>454</v>
      </c>
      <c r="C8" s="762">
        <v>5000</v>
      </c>
      <c r="D8" s="763">
        <v>1</v>
      </c>
      <c r="E8" s="763">
        <v>4</v>
      </c>
      <c r="F8" s="764">
        <f>C8*D8*E8</f>
        <v>20000</v>
      </c>
      <c r="G8" s="764">
        <f>F8/$G$3</f>
        <v>7923.6163384968904</v>
      </c>
      <c r="H8" s="735"/>
      <c r="I8" s="735"/>
      <c r="J8" s="746"/>
      <c r="K8" s="746"/>
      <c r="L8" s="746"/>
      <c r="M8" s="746"/>
      <c r="N8" s="746"/>
      <c r="O8" s="746"/>
      <c r="P8" s="746"/>
    </row>
    <row r="9" spans="1:16" s="736" customFormat="1" ht="12.65" customHeight="1">
      <c r="A9" s="731"/>
      <c r="B9" s="765" t="s">
        <v>455</v>
      </c>
      <c r="C9" s="766">
        <v>3000</v>
      </c>
      <c r="D9" s="765">
        <v>1</v>
      </c>
      <c r="E9" s="765">
        <v>4</v>
      </c>
      <c r="F9" s="764">
        <f t="shared" ref="F9:F15" si="0">C9*D9*E9</f>
        <v>12000</v>
      </c>
      <c r="G9" s="764">
        <f t="shared" ref="G9:G15" si="1">F9/$G$3</f>
        <v>4754.1698030981343</v>
      </c>
      <c r="H9" s="735"/>
      <c r="I9" s="735">
        <f>70000/20</f>
        <v>3500</v>
      </c>
      <c r="J9" s="735"/>
      <c r="K9" s="735"/>
      <c r="L9" s="735"/>
      <c r="M9" s="735"/>
      <c r="N9" s="735"/>
      <c r="O9" s="735"/>
      <c r="P9" s="735"/>
    </row>
    <row r="10" spans="1:16" s="747" customFormat="1">
      <c r="A10" s="742"/>
      <c r="B10" s="765" t="s">
        <v>456</v>
      </c>
      <c r="C10" s="766">
        <v>350</v>
      </c>
      <c r="D10" s="765">
        <v>1</v>
      </c>
      <c r="E10" s="765">
        <v>35</v>
      </c>
      <c r="F10" s="764">
        <f t="shared" si="0"/>
        <v>12250</v>
      </c>
      <c r="G10" s="764">
        <f t="shared" si="1"/>
        <v>4853.2150073293451</v>
      </c>
      <c r="H10" s="746"/>
      <c r="I10" s="735"/>
      <c r="J10" s="746"/>
      <c r="K10" s="746"/>
      <c r="L10" s="746"/>
      <c r="M10" s="746"/>
      <c r="N10" s="746"/>
      <c r="O10" s="746"/>
      <c r="P10" s="746"/>
    </row>
    <row r="11" spans="1:16" s="770" customFormat="1">
      <c r="A11" s="767"/>
      <c r="B11" s="765" t="s">
        <v>457</v>
      </c>
      <c r="C11" s="766">
        <v>700</v>
      </c>
      <c r="D11" s="765">
        <v>3</v>
      </c>
      <c r="E11" s="765">
        <v>10</v>
      </c>
      <c r="F11" s="764">
        <f t="shared" si="0"/>
        <v>21000</v>
      </c>
      <c r="G11" s="764">
        <f t="shared" si="1"/>
        <v>8319.7971554217347</v>
      </c>
      <c r="H11" s="768"/>
      <c r="I11" s="769"/>
      <c r="J11" s="768"/>
      <c r="K11" s="768"/>
      <c r="L11" s="768"/>
      <c r="M11" s="768"/>
      <c r="N11" s="768"/>
      <c r="O11" s="768"/>
      <c r="P11" s="768"/>
    </row>
    <row r="12" spans="1:16" s="770" customFormat="1">
      <c r="A12" s="767"/>
      <c r="B12" s="765" t="s">
        <v>256</v>
      </c>
      <c r="C12" s="766">
        <v>800</v>
      </c>
      <c r="D12" s="765">
        <v>3</v>
      </c>
      <c r="E12" s="765">
        <v>10</v>
      </c>
      <c r="F12" s="764">
        <f t="shared" si="0"/>
        <v>24000</v>
      </c>
      <c r="G12" s="764">
        <f t="shared" si="1"/>
        <v>9508.3396061962685</v>
      </c>
      <c r="H12" s="768"/>
      <c r="I12" s="769"/>
      <c r="J12" s="768"/>
      <c r="K12" s="768"/>
      <c r="L12" s="768"/>
      <c r="M12" s="768"/>
      <c r="N12" s="768"/>
      <c r="O12" s="768"/>
      <c r="P12" s="768"/>
    </row>
    <row r="13" spans="1:16" s="770" customFormat="1">
      <c r="A13" s="767"/>
      <c r="B13" s="765" t="s">
        <v>259</v>
      </c>
      <c r="C13" s="766">
        <v>200</v>
      </c>
      <c r="D13" s="765">
        <v>30</v>
      </c>
      <c r="E13" s="765">
        <v>1</v>
      </c>
      <c r="F13" s="764">
        <f t="shared" si="0"/>
        <v>6000</v>
      </c>
      <c r="G13" s="764">
        <f t="shared" si="1"/>
        <v>2377.0849015490671</v>
      </c>
      <c r="H13" s="768"/>
      <c r="I13" s="769"/>
      <c r="J13" s="768"/>
      <c r="K13" s="768"/>
      <c r="L13" s="768"/>
      <c r="M13" s="768"/>
      <c r="N13" s="768"/>
      <c r="O13" s="768"/>
      <c r="P13" s="768"/>
    </row>
    <row r="14" spans="1:16" s="770" customFormat="1">
      <c r="A14" s="767"/>
      <c r="B14" s="765" t="s">
        <v>458</v>
      </c>
      <c r="C14" s="766">
        <v>350</v>
      </c>
      <c r="D14" s="765">
        <v>30</v>
      </c>
      <c r="E14" s="765">
        <v>5</v>
      </c>
      <c r="F14" s="764">
        <f t="shared" si="0"/>
        <v>52500</v>
      </c>
      <c r="G14" s="764">
        <f t="shared" si="1"/>
        <v>20799.492888554338</v>
      </c>
      <c r="H14" s="768"/>
      <c r="I14" s="769"/>
      <c r="J14" s="768"/>
      <c r="K14" s="768"/>
      <c r="L14" s="768"/>
      <c r="M14" s="768"/>
      <c r="N14" s="768"/>
      <c r="O14" s="768"/>
      <c r="P14" s="768"/>
    </row>
    <row r="15" spans="1:16" s="770" customFormat="1">
      <c r="A15" s="767"/>
      <c r="B15" s="765" t="s">
        <v>459</v>
      </c>
      <c r="C15" s="766">
        <v>35</v>
      </c>
      <c r="D15" s="765">
        <v>2</v>
      </c>
      <c r="E15" s="765">
        <v>200</v>
      </c>
      <c r="F15" s="764">
        <f t="shared" si="0"/>
        <v>14000</v>
      </c>
      <c r="G15" s="764">
        <f t="shared" si="1"/>
        <v>5546.5314369478237</v>
      </c>
      <c r="H15" s="768"/>
      <c r="I15" s="769"/>
      <c r="J15" s="768"/>
      <c r="K15" s="768"/>
      <c r="L15" s="768"/>
      <c r="M15" s="768"/>
      <c r="N15" s="768"/>
      <c r="O15" s="768"/>
      <c r="P15" s="768"/>
    </row>
    <row r="16" spans="1:16" s="770" customFormat="1" ht="16.5" thickBot="1">
      <c r="A16" s="767"/>
      <c r="B16" s="771"/>
      <c r="C16" s="772"/>
      <c r="D16" s="773"/>
      <c r="E16" s="773"/>
      <c r="F16" s="774">
        <f>SUM(F8:F15)</f>
        <v>161750</v>
      </c>
      <c r="G16" s="774">
        <f>SUM(G8:G15)</f>
        <v>64082.247137593607</v>
      </c>
      <c r="H16" s="768"/>
      <c r="I16" s="769"/>
      <c r="J16" s="768"/>
      <c r="K16" s="768"/>
      <c r="L16" s="768"/>
      <c r="M16" s="768"/>
      <c r="N16" s="768"/>
      <c r="O16" s="768"/>
      <c r="P16" s="768"/>
    </row>
    <row r="17" spans="1:16" s="770" customFormat="1">
      <c r="A17" s="767"/>
      <c r="C17" s="775"/>
      <c r="D17" s="776"/>
      <c r="E17" s="776"/>
      <c r="F17" s="777"/>
      <c r="G17" s="777"/>
      <c r="H17" s="768"/>
      <c r="I17" s="769"/>
      <c r="J17" s="768"/>
      <c r="K17" s="768"/>
      <c r="L17" s="768"/>
      <c r="M17" s="768"/>
      <c r="N17" s="768"/>
      <c r="O17" s="768"/>
      <c r="P17" s="768"/>
    </row>
    <row r="18" spans="1:16" s="738" customFormat="1">
      <c r="A18" s="737"/>
      <c r="B18" s="778"/>
      <c r="C18" s="779"/>
      <c r="D18" s="778"/>
      <c r="E18" s="778"/>
      <c r="F18" s="780"/>
      <c r="G18" s="780"/>
      <c r="H18" s="735"/>
      <c r="I18" s="735"/>
      <c r="J18" s="781"/>
      <c r="K18" s="735"/>
      <c r="L18" s="735"/>
      <c r="M18" s="735"/>
      <c r="N18" s="735"/>
      <c r="O18" s="735"/>
      <c r="P18" s="735"/>
    </row>
    <row r="19" spans="1:16" s="738" customFormat="1" ht="24.65" customHeight="1">
      <c r="A19" s="737"/>
      <c r="B19" s="748" t="str">
        <f>'[27]2024-2027 Budget'!B70</f>
        <v>1.1.2 Strengthening grassroots engagement</v>
      </c>
      <c r="C19" s="749"/>
      <c r="D19" s="749"/>
      <c r="E19" s="749"/>
      <c r="F19" s="749"/>
      <c r="G19" s="750"/>
      <c r="H19" s="751" t="s">
        <v>460</v>
      </c>
      <c r="I19" s="735"/>
      <c r="J19" s="781"/>
      <c r="K19" s="735"/>
      <c r="L19" s="735"/>
      <c r="M19" s="735"/>
      <c r="N19" s="735"/>
      <c r="O19" s="735"/>
      <c r="P19" s="735"/>
    </row>
    <row r="20" spans="1:16" s="738" customFormat="1" ht="16.5" thickBot="1">
      <c r="A20" s="737"/>
      <c r="B20" s="736"/>
      <c r="C20" s="752"/>
      <c r="D20" s="753"/>
      <c r="E20" s="753"/>
      <c r="F20" s="754"/>
      <c r="G20" s="736"/>
      <c r="H20" s="735"/>
      <c r="I20" s="735"/>
      <c r="J20" s="781"/>
      <c r="K20" s="735"/>
      <c r="L20" s="735"/>
      <c r="M20" s="735"/>
      <c r="N20" s="735"/>
      <c r="O20" s="735"/>
      <c r="P20" s="735"/>
    </row>
    <row r="21" spans="1:16" s="738" customFormat="1" ht="29.5" thickBot="1">
      <c r="A21" s="737"/>
      <c r="B21" s="755" t="s">
        <v>448</v>
      </c>
      <c r="C21" s="756" t="s">
        <v>249</v>
      </c>
      <c r="D21" s="757" t="s">
        <v>449</v>
      </c>
      <c r="E21" s="757" t="s">
        <v>450</v>
      </c>
      <c r="F21" s="758" t="s">
        <v>451</v>
      </c>
      <c r="G21" s="759" t="s">
        <v>452</v>
      </c>
      <c r="H21" s="760" t="s">
        <v>461</v>
      </c>
      <c r="I21" s="735"/>
      <c r="J21" s="781"/>
      <c r="K21" s="735"/>
      <c r="L21" s="735"/>
      <c r="M21" s="735"/>
      <c r="N21" s="735"/>
      <c r="O21" s="735"/>
      <c r="P21" s="735"/>
    </row>
    <row r="22" spans="1:16" s="738" customFormat="1">
      <c r="A22" s="737"/>
      <c r="B22" s="765" t="s">
        <v>462</v>
      </c>
      <c r="C22" s="766">
        <v>3500</v>
      </c>
      <c r="D22" s="765">
        <v>4</v>
      </c>
      <c r="E22" s="765">
        <v>1</v>
      </c>
      <c r="F22" s="764">
        <f t="shared" ref="F22:F28" si="2">C22*D22*E22</f>
        <v>14000</v>
      </c>
      <c r="G22" s="764">
        <f t="shared" ref="G22:G28" si="3">F22/$G$3</f>
        <v>5546.5314369478237</v>
      </c>
      <c r="H22" s="735"/>
      <c r="I22" s="735"/>
      <c r="J22" s="781"/>
      <c r="K22" s="735"/>
      <c r="L22" s="735"/>
      <c r="M22" s="735"/>
      <c r="N22" s="735"/>
      <c r="O22" s="735"/>
      <c r="P22" s="735"/>
    </row>
    <row r="23" spans="1:16" s="738" customFormat="1">
      <c r="A23" s="737"/>
      <c r="B23" s="765" t="s">
        <v>458</v>
      </c>
      <c r="C23" s="766">
        <v>350</v>
      </c>
      <c r="D23" s="765">
        <v>30</v>
      </c>
      <c r="E23" s="765">
        <v>5</v>
      </c>
      <c r="F23" s="764">
        <f t="shared" si="2"/>
        <v>52500</v>
      </c>
      <c r="G23" s="764">
        <f t="shared" si="3"/>
        <v>20799.492888554338</v>
      </c>
      <c r="H23" s="735"/>
      <c r="I23" s="735"/>
      <c r="J23" s="781"/>
      <c r="K23" s="735"/>
      <c r="L23" s="735"/>
      <c r="M23" s="735"/>
      <c r="N23" s="735"/>
      <c r="O23" s="735"/>
      <c r="P23" s="735"/>
    </row>
    <row r="24" spans="1:16" s="738" customFormat="1">
      <c r="A24" s="737"/>
      <c r="B24" s="765" t="s">
        <v>457</v>
      </c>
      <c r="C24" s="766">
        <v>700</v>
      </c>
      <c r="D24" s="765">
        <v>3</v>
      </c>
      <c r="E24" s="765">
        <v>5</v>
      </c>
      <c r="F24" s="764">
        <f t="shared" si="2"/>
        <v>10500</v>
      </c>
      <c r="G24" s="764">
        <f t="shared" si="3"/>
        <v>4159.8985777108674</v>
      </c>
      <c r="H24" s="735"/>
      <c r="I24" s="735"/>
      <c r="J24" s="781"/>
      <c r="K24" s="735"/>
      <c r="L24" s="735"/>
      <c r="M24" s="735"/>
      <c r="N24" s="735"/>
      <c r="O24" s="735"/>
      <c r="P24" s="735"/>
    </row>
    <row r="25" spans="1:16" s="738" customFormat="1">
      <c r="A25" s="737"/>
      <c r="B25" s="765" t="s">
        <v>256</v>
      </c>
      <c r="C25" s="766">
        <v>800</v>
      </c>
      <c r="D25" s="765">
        <v>3</v>
      </c>
      <c r="E25" s="765">
        <v>5</v>
      </c>
      <c r="F25" s="764">
        <f t="shared" si="2"/>
        <v>12000</v>
      </c>
      <c r="G25" s="764">
        <f t="shared" si="3"/>
        <v>4754.1698030981343</v>
      </c>
      <c r="H25" s="782"/>
      <c r="I25" s="735"/>
      <c r="J25" s="781"/>
      <c r="K25" s="735"/>
      <c r="L25" s="735"/>
      <c r="M25" s="735"/>
      <c r="N25" s="735"/>
      <c r="O25" s="735"/>
      <c r="P25" s="735"/>
    </row>
    <row r="26" spans="1:16" s="738" customFormat="1">
      <c r="A26" s="737"/>
      <c r="B26" s="765" t="s">
        <v>463</v>
      </c>
      <c r="C26" s="766">
        <v>350</v>
      </c>
      <c r="D26" s="765">
        <v>30</v>
      </c>
      <c r="E26" s="765">
        <v>1</v>
      </c>
      <c r="F26" s="764">
        <f t="shared" si="2"/>
        <v>10500</v>
      </c>
      <c r="G26" s="764">
        <f t="shared" si="3"/>
        <v>4159.8985777108674</v>
      </c>
      <c r="H26" s="735"/>
      <c r="I26" s="735"/>
      <c r="J26" s="781"/>
      <c r="K26" s="735"/>
      <c r="L26" s="735"/>
      <c r="M26" s="735"/>
      <c r="N26" s="735"/>
      <c r="O26" s="735"/>
      <c r="P26" s="735"/>
    </row>
    <row r="27" spans="1:16" s="738" customFormat="1">
      <c r="A27" s="737"/>
      <c r="B27" s="765" t="s">
        <v>464</v>
      </c>
      <c r="C27" s="766">
        <v>200</v>
      </c>
      <c r="D27" s="765">
        <v>30</v>
      </c>
      <c r="E27" s="765">
        <v>1</v>
      </c>
      <c r="F27" s="764">
        <f t="shared" si="2"/>
        <v>6000</v>
      </c>
      <c r="G27" s="764">
        <f t="shared" si="3"/>
        <v>2377.0849015490671</v>
      </c>
      <c r="H27" s="735"/>
      <c r="I27" s="735"/>
      <c r="J27" s="781"/>
      <c r="K27" s="735"/>
      <c r="L27" s="735"/>
      <c r="M27" s="735"/>
      <c r="N27" s="735"/>
      <c r="O27" s="735"/>
      <c r="P27" s="735"/>
    </row>
    <row r="28" spans="1:16" s="738" customFormat="1">
      <c r="A28" s="737"/>
      <c r="B28" s="765" t="s">
        <v>459</v>
      </c>
      <c r="C28" s="766">
        <v>35</v>
      </c>
      <c r="D28" s="765">
        <v>2</v>
      </c>
      <c r="E28" s="765">
        <v>100</v>
      </c>
      <c r="F28" s="764">
        <f t="shared" si="2"/>
        <v>7000</v>
      </c>
      <c r="G28" s="764">
        <f t="shared" si="3"/>
        <v>2773.2657184739119</v>
      </c>
      <c r="H28" s="735"/>
      <c r="I28" s="735"/>
      <c r="J28" s="781"/>
      <c r="K28" s="735"/>
      <c r="L28" s="735"/>
      <c r="M28" s="735"/>
      <c r="N28" s="735"/>
      <c r="O28" s="735"/>
      <c r="P28" s="735"/>
    </row>
    <row r="29" spans="1:16" s="738" customFormat="1" ht="16.5" thickBot="1">
      <c r="A29" s="737"/>
      <c r="B29" s="771"/>
      <c r="C29" s="772"/>
      <c r="D29" s="773"/>
      <c r="E29" s="773"/>
      <c r="F29" s="783">
        <f>SUM(F22:F28)</f>
        <v>112500</v>
      </c>
      <c r="G29" s="784">
        <f>SUM(G22:G28)</f>
        <v>44570.341904045017</v>
      </c>
      <c r="H29" s="735"/>
      <c r="I29" s="735"/>
      <c r="J29" s="781"/>
      <c r="K29" s="735"/>
      <c r="L29" s="735"/>
      <c r="M29" s="735"/>
      <c r="N29" s="735"/>
      <c r="O29" s="735"/>
      <c r="P29" s="735"/>
    </row>
    <row r="30" spans="1:16" s="788" customFormat="1">
      <c r="A30" s="785"/>
      <c r="B30" s="770"/>
      <c r="C30" s="775"/>
      <c r="D30" s="776"/>
      <c r="E30" s="776"/>
      <c r="F30" s="777"/>
      <c r="G30" s="786"/>
      <c r="H30" s="769"/>
      <c r="I30" s="769"/>
      <c r="J30" s="787"/>
      <c r="K30" s="769"/>
      <c r="L30" s="769"/>
      <c r="M30" s="769"/>
      <c r="N30" s="769"/>
      <c r="O30" s="769"/>
      <c r="P30" s="769"/>
    </row>
    <row r="31" spans="1:16" s="788" customFormat="1" ht="14.5" customHeight="1">
      <c r="A31" s="785"/>
      <c r="B31" s="748" t="str">
        <f>'[27]2024-2027 Budget'!B71</f>
        <v>1.1.3 Advocacy for transparency and accountability</v>
      </c>
      <c r="C31" s="749"/>
      <c r="D31" s="749"/>
      <c r="E31" s="749"/>
      <c r="F31" s="749"/>
      <c r="G31" s="750"/>
      <c r="H31" s="769"/>
      <c r="I31" s="769"/>
      <c r="J31" s="787"/>
      <c r="K31" s="769"/>
      <c r="L31" s="769"/>
      <c r="M31" s="769"/>
      <c r="N31" s="769"/>
      <c r="O31" s="769"/>
      <c r="P31" s="769"/>
    </row>
    <row r="32" spans="1:16" s="788" customFormat="1" ht="16.5" thickBot="1">
      <c r="A32" s="785"/>
      <c r="B32" s="736"/>
      <c r="C32" s="752"/>
      <c r="D32" s="753"/>
      <c r="E32" s="753"/>
      <c r="F32" s="754"/>
      <c r="G32" s="736"/>
      <c r="H32" s="769"/>
      <c r="I32" s="769"/>
      <c r="J32" s="787"/>
      <c r="K32" s="769"/>
      <c r="L32" s="769"/>
      <c r="M32" s="769"/>
      <c r="N32" s="769"/>
      <c r="O32" s="769"/>
      <c r="P32" s="769"/>
    </row>
    <row r="33" spans="1:16" s="788" customFormat="1" ht="29.5" thickBot="1">
      <c r="A33" s="785"/>
      <c r="B33" s="755" t="s">
        <v>448</v>
      </c>
      <c r="C33" s="756" t="s">
        <v>249</v>
      </c>
      <c r="D33" s="757" t="s">
        <v>449</v>
      </c>
      <c r="E33" s="757" t="s">
        <v>450</v>
      </c>
      <c r="F33" s="758" t="s">
        <v>451</v>
      </c>
      <c r="G33" s="759" t="s">
        <v>452</v>
      </c>
      <c r="H33" s="769"/>
      <c r="I33" s="769"/>
      <c r="J33" s="787"/>
      <c r="K33" s="769"/>
      <c r="L33" s="769"/>
      <c r="M33" s="769"/>
      <c r="N33" s="769"/>
      <c r="O33" s="769"/>
      <c r="P33" s="769"/>
    </row>
    <row r="34" spans="1:16" s="788" customFormat="1">
      <c r="A34" s="785"/>
      <c r="B34" s="761" t="s">
        <v>454</v>
      </c>
      <c r="C34" s="762">
        <v>5000</v>
      </c>
      <c r="D34" s="763">
        <v>1</v>
      </c>
      <c r="E34" s="763">
        <v>3</v>
      </c>
      <c r="F34" s="764">
        <f>C34*D34*E34</f>
        <v>15000</v>
      </c>
      <c r="G34" s="764">
        <f>F34/$G$3</f>
        <v>5942.712253872668</v>
      </c>
      <c r="H34" s="769"/>
      <c r="I34" s="769"/>
      <c r="J34" s="787"/>
      <c r="K34" s="769"/>
      <c r="L34" s="769"/>
      <c r="M34" s="769"/>
      <c r="N34" s="769"/>
      <c r="O34" s="769"/>
      <c r="P34" s="769"/>
    </row>
    <row r="35" spans="1:16" s="788" customFormat="1">
      <c r="A35" s="785"/>
      <c r="B35" s="765" t="s">
        <v>455</v>
      </c>
      <c r="C35" s="766">
        <v>3000</v>
      </c>
      <c r="D35" s="765">
        <v>1</v>
      </c>
      <c r="E35" s="765">
        <v>3</v>
      </c>
      <c r="F35" s="764">
        <f t="shared" ref="F35:F40" si="4">C35*D35*E35</f>
        <v>9000</v>
      </c>
      <c r="G35" s="764">
        <f t="shared" ref="G35:G40" si="5">F35/$G$3</f>
        <v>3565.6273523236009</v>
      </c>
      <c r="H35" s="769"/>
      <c r="I35" s="769"/>
      <c r="J35" s="787"/>
      <c r="K35" s="769"/>
      <c r="L35" s="769"/>
      <c r="M35" s="769"/>
      <c r="N35" s="769"/>
      <c r="O35" s="769"/>
      <c r="P35" s="769"/>
    </row>
    <row r="36" spans="1:16" s="788" customFormat="1">
      <c r="A36" s="785"/>
      <c r="B36" s="765" t="s">
        <v>458</v>
      </c>
      <c r="C36" s="766">
        <v>350</v>
      </c>
      <c r="D36" s="765">
        <v>15</v>
      </c>
      <c r="E36" s="765">
        <v>3</v>
      </c>
      <c r="F36" s="764">
        <f t="shared" si="4"/>
        <v>15750</v>
      </c>
      <c r="G36" s="764">
        <f t="shared" si="5"/>
        <v>6239.8478665663015</v>
      </c>
      <c r="H36" s="769"/>
      <c r="I36" s="769"/>
      <c r="J36" s="787"/>
      <c r="K36" s="769"/>
      <c r="L36" s="769"/>
      <c r="M36" s="769"/>
      <c r="N36" s="769"/>
      <c r="O36" s="769"/>
      <c r="P36" s="769"/>
    </row>
    <row r="37" spans="1:16" s="788" customFormat="1">
      <c r="A37" s="785"/>
      <c r="B37" s="765" t="s">
        <v>465</v>
      </c>
      <c r="C37" s="766">
        <v>350</v>
      </c>
      <c r="D37" s="765">
        <v>15</v>
      </c>
      <c r="E37" s="765">
        <v>3</v>
      </c>
      <c r="F37" s="764">
        <f t="shared" si="4"/>
        <v>15750</v>
      </c>
      <c r="G37" s="764">
        <f t="shared" si="5"/>
        <v>6239.8478665663015</v>
      </c>
      <c r="H37" s="769"/>
      <c r="I37" s="769"/>
      <c r="J37" s="787"/>
      <c r="K37" s="769"/>
      <c r="L37" s="769"/>
      <c r="M37" s="769"/>
      <c r="N37" s="769"/>
      <c r="O37" s="769"/>
      <c r="P37" s="769"/>
    </row>
    <row r="38" spans="1:16" s="788" customFormat="1">
      <c r="A38" s="785"/>
      <c r="B38" s="765" t="s">
        <v>491</v>
      </c>
      <c r="C38" s="766">
        <v>300</v>
      </c>
      <c r="D38" s="765">
        <v>30</v>
      </c>
      <c r="E38" s="765">
        <v>3</v>
      </c>
      <c r="F38" s="789">
        <f t="shared" si="4"/>
        <v>27000</v>
      </c>
      <c r="G38" s="764">
        <f t="shared" si="5"/>
        <v>10696.882056970802</v>
      </c>
      <c r="H38" s="769"/>
      <c r="I38" s="769"/>
      <c r="J38" s="787"/>
      <c r="K38" s="769"/>
      <c r="L38" s="769"/>
      <c r="M38" s="769"/>
      <c r="N38" s="769"/>
      <c r="O38" s="769"/>
      <c r="P38" s="769"/>
    </row>
    <row r="39" spans="1:16" s="788" customFormat="1">
      <c r="A39" s="785"/>
      <c r="B39" s="765" t="s">
        <v>466</v>
      </c>
      <c r="C39" s="766">
        <v>1000</v>
      </c>
      <c r="D39" s="765">
        <v>1</v>
      </c>
      <c r="E39" s="765">
        <v>3</v>
      </c>
      <c r="F39" s="764">
        <f t="shared" si="4"/>
        <v>3000</v>
      </c>
      <c r="G39" s="764">
        <f t="shared" si="5"/>
        <v>1188.5424507745336</v>
      </c>
      <c r="H39" s="769"/>
      <c r="I39" s="769"/>
      <c r="J39" s="787"/>
      <c r="K39" s="769"/>
      <c r="L39" s="769"/>
      <c r="M39" s="769"/>
      <c r="N39" s="769"/>
      <c r="O39" s="769"/>
      <c r="P39" s="769"/>
    </row>
    <row r="40" spans="1:16" s="788" customFormat="1">
      <c r="A40" s="785"/>
      <c r="B40" s="765" t="s">
        <v>459</v>
      </c>
      <c r="C40" s="766">
        <v>35</v>
      </c>
      <c r="D40" s="765">
        <v>2</v>
      </c>
      <c r="E40" s="765">
        <v>50</v>
      </c>
      <c r="F40" s="764">
        <f t="shared" si="4"/>
        <v>3500</v>
      </c>
      <c r="G40" s="764">
        <f t="shared" si="5"/>
        <v>1386.6328592369559</v>
      </c>
      <c r="H40" s="769"/>
      <c r="I40" s="769"/>
      <c r="J40" s="787"/>
      <c r="K40" s="769"/>
      <c r="L40" s="769"/>
      <c r="M40" s="769"/>
      <c r="N40" s="769"/>
      <c r="O40" s="769"/>
      <c r="P40" s="769"/>
    </row>
    <row r="41" spans="1:16" s="788" customFormat="1" ht="16.5" thickBot="1">
      <c r="A41" s="785"/>
      <c r="B41" s="771"/>
      <c r="C41" s="772"/>
      <c r="D41" s="773"/>
      <c r="E41" s="773"/>
      <c r="F41" s="774">
        <f>SUM(F34:F40)</f>
        <v>89000</v>
      </c>
      <c r="G41" s="774">
        <f>SUM(G34:G40)</f>
        <v>35260.092706311159</v>
      </c>
      <c r="H41" s="769"/>
      <c r="I41" s="769"/>
      <c r="J41" s="787"/>
      <c r="K41" s="769"/>
      <c r="L41" s="769"/>
      <c r="M41" s="769"/>
      <c r="N41" s="769"/>
      <c r="O41" s="769"/>
      <c r="P41" s="769"/>
    </row>
    <row r="42" spans="1:16" s="788" customFormat="1">
      <c r="A42" s="785"/>
      <c r="B42" s="770"/>
      <c r="C42" s="775"/>
      <c r="D42" s="776"/>
      <c r="E42" s="776"/>
      <c r="F42" s="777"/>
      <c r="G42" s="786"/>
      <c r="H42" s="769"/>
      <c r="I42" s="769"/>
      <c r="J42" s="787"/>
      <c r="K42" s="769"/>
      <c r="L42" s="769"/>
      <c r="M42" s="769"/>
      <c r="N42" s="769"/>
      <c r="O42" s="769"/>
      <c r="P42" s="769"/>
    </row>
    <row r="43" spans="1:16" s="788" customFormat="1">
      <c r="A43" s="785"/>
      <c r="B43" s="748">
        <f>'2024-2028 Budget'!B66</f>
        <v>0</v>
      </c>
      <c r="C43" s="749"/>
      <c r="D43" s="749"/>
      <c r="E43" s="749"/>
      <c r="F43" s="749"/>
      <c r="G43" s="750"/>
      <c r="H43" s="769"/>
      <c r="I43" s="769"/>
      <c r="J43" s="787"/>
      <c r="K43" s="769"/>
      <c r="L43" s="769"/>
      <c r="M43" s="769"/>
      <c r="N43" s="769"/>
      <c r="O43" s="769"/>
      <c r="P43" s="769"/>
    </row>
    <row r="45" spans="1:16" s="736" customFormat="1">
      <c r="A45" s="790"/>
      <c r="B45" s="748" t="s">
        <v>500</v>
      </c>
      <c r="C45" s="749"/>
      <c r="D45" s="749"/>
      <c r="E45" s="749"/>
      <c r="F45" s="749"/>
      <c r="G45" s="750"/>
      <c r="H45" s="735"/>
      <c r="I45" s="735"/>
      <c r="J45" s="735"/>
      <c r="K45" s="735"/>
      <c r="L45" s="735"/>
      <c r="M45" s="735"/>
      <c r="N45" s="735"/>
      <c r="O45" s="735"/>
      <c r="P45" s="735"/>
    </row>
    <row r="46" spans="1:16" s="736" customFormat="1" ht="16.5" thickBot="1">
      <c r="A46" s="790"/>
      <c r="B46" s="791"/>
      <c r="C46" s="791"/>
      <c r="D46" s="791"/>
      <c r="E46" s="791"/>
      <c r="F46" s="792"/>
      <c r="G46" s="793"/>
      <c r="H46" s="735"/>
      <c r="I46" s="735"/>
      <c r="J46" s="735"/>
      <c r="K46" s="735"/>
      <c r="L46" s="735"/>
      <c r="M46" s="735"/>
      <c r="N46" s="735"/>
      <c r="O46" s="735"/>
      <c r="P46" s="735"/>
    </row>
    <row r="47" spans="1:16" s="736" customFormat="1" ht="29.5" thickBot="1">
      <c r="A47" s="790"/>
      <c r="B47" s="755" t="s">
        <v>448</v>
      </c>
      <c r="C47" s="756" t="s">
        <v>249</v>
      </c>
      <c r="D47" s="757" t="s">
        <v>449</v>
      </c>
      <c r="E47" s="757" t="s">
        <v>450</v>
      </c>
      <c r="F47" s="758" t="s">
        <v>451</v>
      </c>
      <c r="G47" s="759" t="s">
        <v>452</v>
      </c>
      <c r="H47" s="735"/>
      <c r="I47" s="735"/>
      <c r="J47" s="735"/>
      <c r="K47" s="735"/>
      <c r="L47" s="735"/>
      <c r="M47" s="735"/>
      <c r="N47" s="735"/>
      <c r="O47" s="735"/>
      <c r="P47" s="735"/>
    </row>
    <row r="48" spans="1:16" s="736" customFormat="1">
      <c r="A48" s="790"/>
      <c r="B48" s="761" t="s">
        <v>493</v>
      </c>
      <c r="C48" s="794">
        <v>10000</v>
      </c>
      <c r="D48" s="795">
        <v>1</v>
      </c>
      <c r="E48" s="795">
        <v>1</v>
      </c>
      <c r="F48" s="796">
        <f t="shared" ref="F48" si="6">ROUND(C48*D48*E48,0)</f>
        <v>10000</v>
      </c>
      <c r="G48" s="797">
        <f t="shared" ref="G48" si="7">F48/$G$3</f>
        <v>3961.8081692484452</v>
      </c>
      <c r="H48" s="735"/>
      <c r="I48" s="735"/>
      <c r="J48" s="735"/>
      <c r="K48" s="735"/>
      <c r="L48" s="735"/>
      <c r="M48" s="735"/>
      <c r="N48" s="735"/>
      <c r="O48" s="735"/>
      <c r="P48" s="735"/>
    </row>
    <row r="49" spans="1:16" s="736" customFormat="1">
      <c r="A49" s="790"/>
      <c r="B49" s="761" t="s">
        <v>495</v>
      </c>
      <c r="C49" s="794">
        <v>10000</v>
      </c>
      <c r="D49" s="795">
        <v>1</v>
      </c>
      <c r="E49" s="795">
        <v>1</v>
      </c>
      <c r="F49" s="796">
        <f t="shared" ref="F49:F59" si="8">ROUND(C49*D49*E49,0)</f>
        <v>10000</v>
      </c>
      <c r="G49" s="797">
        <f t="shared" ref="G49:G59" si="9">F49/$G$3</f>
        <v>3961.8081692484452</v>
      </c>
      <c r="H49" s="735"/>
      <c r="I49" s="735"/>
      <c r="J49" s="735"/>
      <c r="K49" s="735"/>
      <c r="L49" s="735"/>
      <c r="M49" s="735"/>
      <c r="N49" s="735"/>
      <c r="O49" s="735"/>
      <c r="P49" s="735"/>
    </row>
    <row r="50" spans="1:16" s="736" customFormat="1">
      <c r="A50" s="790"/>
      <c r="B50" s="761" t="s">
        <v>496</v>
      </c>
      <c r="C50" s="794">
        <v>1000</v>
      </c>
      <c r="D50" s="795">
        <v>1</v>
      </c>
      <c r="E50" s="795">
        <v>6</v>
      </c>
      <c r="F50" s="796">
        <f t="shared" si="8"/>
        <v>6000</v>
      </c>
      <c r="G50" s="797">
        <f t="shared" si="9"/>
        <v>2377.0849015490671</v>
      </c>
      <c r="H50" s="735"/>
      <c r="I50" s="735"/>
      <c r="J50" s="735"/>
      <c r="K50" s="735"/>
      <c r="L50" s="735"/>
      <c r="M50" s="735"/>
      <c r="N50" s="735"/>
      <c r="O50" s="735"/>
      <c r="P50" s="735"/>
    </row>
    <row r="51" spans="1:16" s="736" customFormat="1">
      <c r="A51" s="790"/>
      <c r="B51" s="761" t="s">
        <v>497</v>
      </c>
      <c r="C51" s="794">
        <v>1000</v>
      </c>
      <c r="D51" s="795">
        <v>35</v>
      </c>
      <c r="E51" s="795">
        <v>6</v>
      </c>
      <c r="F51" s="796">
        <f t="shared" si="8"/>
        <v>210000</v>
      </c>
      <c r="G51" s="797">
        <f t="shared" si="9"/>
        <v>83197.971554217351</v>
      </c>
      <c r="H51" s="735"/>
      <c r="I51" s="735"/>
      <c r="J51" s="735"/>
      <c r="K51" s="735"/>
      <c r="L51" s="735"/>
      <c r="M51" s="735"/>
      <c r="N51" s="735"/>
      <c r="O51" s="735"/>
      <c r="P51" s="735"/>
    </row>
    <row r="52" spans="1:16" s="736" customFormat="1">
      <c r="A52" s="790"/>
      <c r="B52" s="761" t="s">
        <v>499</v>
      </c>
      <c r="C52" s="794">
        <v>700</v>
      </c>
      <c r="D52" s="795">
        <v>35</v>
      </c>
      <c r="E52" s="795">
        <v>6</v>
      </c>
      <c r="F52" s="796">
        <f t="shared" si="8"/>
        <v>147000</v>
      </c>
      <c r="G52" s="797">
        <f t="shared" si="9"/>
        <v>58238.580087952148</v>
      </c>
      <c r="H52" s="735"/>
      <c r="I52" s="735"/>
      <c r="J52" s="735"/>
      <c r="K52" s="735"/>
      <c r="L52" s="735"/>
      <c r="M52" s="735"/>
      <c r="N52" s="735"/>
      <c r="O52" s="735"/>
      <c r="P52" s="735"/>
    </row>
    <row r="53" spans="1:16" s="736" customFormat="1">
      <c r="A53" s="790"/>
      <c r="B53" s="761" t="s">
        <v>494</v>
      </c>
      <c r="C53" s="762">
        <v>350</v>
      </c>
      <c r="D53" s="763">
        <v>35</v>
      </c>
      <c r="E53" s="763">
        <v>1</v>
      </c>
      <c r="F53" s="796">
        <f t="shared" si="8"/>
        <v>12250</v>
      </c>
      <c r="G53" s="797">
        <f t="shared" si="9"/>
        <v>4853.2150073293451</v>
      </c>
      <c r="H53" s="735"/>
      <c r="I53" s="735"/>
      <c r="J53" s="735"/>
      <c r="K53" s="735"/>
      <c r="L53" s="735"/>
      <c r="M53" s="735"/>
      <c r="N53" s="735"/>
      <c r="O53" s="735"/>
      <c r="P53" s="735"/>
    </row>
    <row r="54" spans="1:16" s="736" customFormat="1">
      <c r="A54" s="790"/>
      <c r="B54" s="761" t="s">
        <v>470</v>
      </c>
      <c r="C54" s="762">
        <v>350</v>
      </c>
      <c r="D54" s="763">
        <v>35</v>
      </c>
      <c r="E54" s="763">
        <v>1</v>
      </c>
      <c r="F54" s="796">
        <f t="shared" si="8"/>
        <v>12250</v>
      </c>
      <c r="G54" s="797">
        <f t="shared" si="9"/>
        <v>4853.2150073293451</v>
      </c>
      <c r="H54" s="735"/>
      <c r="I54" s="735"/>
      <c r="J54" s="735"/>
      <c r="K54" s="735"/>
      <c r="L54" s="735"/>
      <c r="M54" s="735"/>
      <c r="N54" s="735"/>
      <c r="O54" s="735"/>
      <c r="P54" s="735"/>
    </row>
    <row r="55" spans="1:16" s="736" customFormat="1">
      <c r="A55" s="790"/>
      <c r="B55" s="761" t="s">
        <v>498</v>
      </c>
      <c r="C55" s="762">
        <v>1000</v>
      </c>
      <c r="D55" s="763">
        <v>35</v>
      </c>
      <c r="E55" s="763">
        <v>1</v>
      </c>
      <c r="F55" s="796">
        <f t="shared" si="8"/>
        <v>35000</v>
      </c>
      <c r="G55" s="797">
        <f t="shared" si="9"/>
        <v>13866.328592369558</v>
      </c>
      <c r="H55" s="735"/>
      <c r="I55" s="735"/>
      <c r="J55" s="735"/>
      <c r="K55" s="735"/>
      <c r="L55" s="735"/>
      <c r="M55" s="735"/>
      <c r="N55" s="735"/>
      <c r="O55" s="735"/>
      <c r="P55" s="735"/>
    </row>
    <row r="56" spans="1:16" s="736" customFormat="1">
      <c r="A56" s="790"/>
      <c r="B56" s="761" t="s">
        <v>485</v>
      </c>
      <c r="C56" s="762">
        <v>500</v>
      </c>
      <c r="D56" s="763">
        <v>1</v>
      </c>
      <c r="E56" s="763">
        <v>4</v>
      </c>
      <c r="F56" s="796">
        <f t="shared" si="8"/>
        <v>2000</v>
      </c>
      <c r="G56" s="797">
        <f t="shared" si="9"/>
        <v>792.36163384968904</v>
      </c>
      <c r="H56" s="735"/>
      <c r="I56" s="735"/>
      <c r="J56" s="735"/>
      <c r="K56" s="735"/>
      <c r="L56" s="735"/>
      <c r="M56" s="735"/>
      <c r="N56" s="735"/>
      <c r="O56" s="735"/>
      <c r="P56" s="735"/>
    </row>
    <row r="57" spans="1:16" s="736" customFormat="1">
      <c r="A57" s="790"/>
      <c r="B57" s="761" t="s">
        <v>253</v>
      </c>
      <c r="C57" s="762">
        <v>38</v>
      </c>
      <c r="D57" s="763">
        <v>50</v>
      </c>
      <c r="E57" s="763">
        <v>1</v>
      </c>
      <c r="F57" s="796">
        <f t="shared" si="8"/>
        <v>1900</v>
      </c>
      <c r="G57" s="797">
        <f t="shared" si="9"/>
        <v>752.74355215720459</v>
      </c>
      <c r="H57" s="735"/>
      <c r="I57" s="735"/>
      <c r="J57" s="735"/>
      <c r="K57" s="735"/>
      <c r="L57" s="735"/>
      <c r="M57" s="735"/>
      <c r="N57" s="735"/>
      <c r="O57" s="735"/>
      <c r="P57" s="735"/>
    </row>
    <row r="58" spans="1:16" s="736" customFormat="1">
      <c r="A58" s="790"/>
      <c r="B58" s="761"/>
      <c r="C58" s="762"/>
      <c r="D58" s="763"/>
      <c r="E58" s="763"/>
      <c r="F58" s="796">
        <f t="shared" si="8"/>
        <v>0</v>
      </c>
      <c r="G58" s="797">
        <f t="shared" si="9"/>
        <v>0</v>
      </c>
      <c r="H58" s="735"/>
      <c r="I58" s="735"/>
      <c r="J58" s="735"/>
      <c r="K58" s="735"/>
      <c r="L58" s="735"/>
      <c r="M58" s="735"/>
      <c r="N58" s="735"/>
      <c r="O58" s="735"/>
      <c r="P58" s="735"/>
    </row>
    <row r="59" spans="1:16" s="736" customFormat="1" ht="16.5" thickBot="1">
      <c r="A59" s="790"/>
      <c r="B59" s="761"/>
      <c r="C59" s="762"/>
      <c r="D59" s="763"/>
      <c r="E59" s="763"/>
      <c r="F59" s="796">
        <f t="shared" si="8"/>
        <v>0</v>
      </c>
      <c r="G59" s="797">
        <f t="shared" si="9"/>
        <v>0</v>
      </c>
      <c r="H59" s="735"/>
      <c r="I59" s="735"/>
      <c r="J59" s="735"/>
      <c r="K59" s="735"/>
      <c r="L59" s="735"/>
      <c r="M59" s="735"/>
      <c r="N59" s="735"/>
      <c r="O59" s="735"/>
      <c r="P59" s="735"/>
    </row>
    <row r="60" spans="1:16" s="736" customFormat="1" ht="16.5" thickBot="1">
      <c r="A60" s="790"/>
      <c r="B60" s="798" t="s">
        <v>467</v>
      </c>
      <c r="C60" s="799"/>
      <c r="D60" s="800"/>
      <c r="E60" s="800"/>
      <c r="F60" s="801">
        <f>SUM(F48:F59)</f>
        <v>446400</v>
      </c>
      <c r="G60" s="801">
        <f>SUM(G48:G59)</f>
        <v>176855.11667525061</v>
      </c>
      <c r="H60" s="735"/>
      <c r="I60" s="735"/>
      <c r="J60" s="735"/>
      <c r="K60" s="735"/>
      <c r="L60" s="735"/>
      <c r="M60" s="735"/>
      <c r="N60" s="735"/>
      <c r="O60" s="735"/>
      <c r="P60" s="735"/>
    </row>
    <row r="61" spans="1:16" s="736" customFormat="1">
      <c r="A61" s="790"/>
      <c r="C61" s="739"/>
      <c r="F61" s="802">
        <f>450000-F60</f>
        <v>3600</v>
      </c>
      <c r="G61" s="735"/>
      <c r="H61" s="735"/>
      <c r="I61" s="735"/>
      <c r="J61" s="735"/>
      <c r="K61" s="735"/>
      <c r="L61" s="735"/>
      <c r="M61" s="735"/>
      <c r="N61" s="735"/>
      <c r="O61" s="735"/>
      <c r="P61" s="735"/>
    </row>
    <row r="63" spans="1:16" s="736" customFormat="1">
      <c r="A63" s="790"/>
      <c r="C63" s="739"/>
      <c r="F63" s="802" t="e">
        <f>F60+(#REF!*3)</f>
        <v>#REF!</v>
      </c>
      <c r="G63" s="735"/>
      <c r="H63" s="735"/>
      <c r="I63" s="735"/>
      <c r="J63" s="735"/>
      <c r="K63" s="735"/>
      <c r="L63" s="735"/>
      <c r="M63" s="735"/>
      <c r="N63" s="735"/>
      <c r="O63" s="735"/>
      <c r="P63" s="735"/>
    </row>
  </sheetData>
  <mergeCells count="7">
    <mergeCell ref="B43:G43"/>
    <mergeCell ref="B45:G45"/>
    <mergeCell ref="B2:G2"/>
    <mergeCell ref="B4:G4"/>
    <mergeCell ref="B5:G5"/>
    <mergeCell ref="B19:G19"/>
    <mergeCell ref="B31:G31"/>
  </mergeCells>
  <pageMargins left="0.7" right="0.7" top="0.75" bottom="0.75" header="0.3" footer="0.3"/>
  <pageSetup paperSize="9" orientation="portrait" r:id="rId1"/>
  <customProperties>
    <customPr name="QAA_DRILLPATH_NODE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14CEC-F492-40BF-9CCC-F5E289F570B4}">
  <dimension ref="A1:T42"/>
  <sheetViews>
    <sheetView workbookViewId="0">
      <selection sqref="A1:XFD1048576"/>
    </sheetView>
  </sheetViews>
  <sheetFormatPr defaultRowHeight="16"/>
  <cols>
    <col min="1" max="1" width="58.1796875" style="825" customWidth="1"/>
    <col min="2" max="2" width="4.453125" style="806" bestFit="1" customWidth="1"/>
    <col min="3" max="3" width="3.81640625" style="806" bestFit="1" customWidth="1"/>
    <col min="4" max="4" width="4.453125" style="806" bestFit="1" customWidth="1"/>
    <col min="5" max="5" width="4.54296875" style="806" bestFit="1" customWidth="1"/>
    <col min="6" max="6" width="4.1796875" style="806" bestFit="1" customWidth="1"/>
    <col min="7" max="8" width="3.453125" style="806" bestFit="1" customWidth="1"/>
    <col min="9" max="9" width="4.453125" style="806" customWidth="1"/>
    <col min="10" max="10" width="5.1796875" style="806" customWidth="1"/>
    <col min="11" max="11" width="3.453125" style="806" bestFit="1" customWidth="1"/>
    <col min="12" max="12" width="5" style="806" customWidth="1"/>
    <col min="13" max="13" width="4.54296875" style="806" customWidth="1"/>
    <col min="14" max="14" width="4.81640625" style="806" customWidth="1"/>
    <col min="15" max="15" width="4.453125" style="806" customWidth="1"/>
    <col min="16" max="16" width="5.26953125" style="806" customWidth="1"/>
    <col min="17" max="17" width="5" style="806" customWidth="1"/>
    <col min="18" max="18" width="5.453125" style="806" customWidth="1"/>
    <col min="19" max="16384" width="8.7265625" style="806"/>
  </cols>
  <sheetData>
    <row r="1" spans="1:20" ht="20">
      <c r="A1" s="803" t="s">
        <v>547</v>
      </c>
      <c r="B1" s="804"/>
      <c r="C1" s="804"/>
      <c r="D1" s="804"/>
      <c r="E1" s="804"/>
      <c r="F1" s="804"/>
      <c r="G1" s="804"/>
      <c r="H1" s="804"/>
      <c r="I1" s="804"/>
      <c r="J1" s="804"/>
      <c r="K1" s="804"/>
      <c r="L1" s="804"/>
      <c r="M1" s="804"/>
      <c r="N1" s="804"/>
      <c r="O1" s="804"/>
      <c r="P1" s="804"/>
      <c r="Q1" s="804"/>
      <c r="R1" s="805"/>
    </row>
    <row r="2" spans="1:20" ht="17.5">
      <c r="A2" s="807" t="s">
        <v>529</v>
      </c>
      <c r="B2" s="808" t="s">
        <v>548</v>
      </c>
      <c r="C2" s="808"/>
      <c r="D2" s="808"/>
      <c r="E2" s="808"/>
      <c r="F2" s="808"/>
      <c r="G2" s="808" t="s">
        <v>530</v>
      </c>
      <c r="H2" s="808"/>
      <c r="I2" s="808"/>
      <c r="J2" s="808"/>
      <c r="K2" s="808" t="s">
        <v>531</v>
      </c>
      <c r="L2" s="808"/>
      <c r="M2" s="808"/>
      <c r="N2" s="808"/>
      <c r="O2" s="808" t="s">
        <v>532</v>
      </c>
      <c r="P2" s="808"/>
      <c r="Q2" s="808"/>
      <c r="R2" s="808"/>
      <c r="S2" s="808" t="s">
        <v>549</v>
      </c>
      <c r="T2" s="808"/>
    </row>
    <row r="3" spans="1:20">
      <c r="A3" s="807"/>
      <c r="B3" s="809"/>
      <c r="C3" s="809"/>
      <c r="D3" s="809" t="s">
        <v>535</v>
      </c>
      <c r="E3" s="809"/>
      <c r="F3" s="809"/>
      <c r="G3" s="810" t="s">
        <v>536</v>
      </c>
      <c r="H3" s="810" t="s">
        <v>533</v>
      </c>
      <c r="I3" s="810" t="s">
        <v>534</v>
      </c>
      <c r="J3" s="810" t="s">
        <v>535</v>
      </c>
      <c r="K3" s="810" t="s">
        <v>536</v>
      </c>
      <c r="L3" s="810" t="s">
        <v>533</v>
      </c>
      <c r="M3" s="810" t="s">
        <v>534</v>
      </c>
      <c r="N3" s="810" t="s">
        <v>535</v>
      </c>
      <c r="O3" s="810" t="s">
        <v>536</v>
      </c>
      <c r="P3" s="810" t="s">
        <v>533</v>
      </c>
      <c r="Q3" s="810" t="s">
        <v>534</v>
      </c>
      <c r="R3" s="810" t="s">
        <v>535</v>
      </c>
      <c r="S3" s="810" t="s">
        <v>536</v>
      </c>
      <c r="T3" s="810" t="s">
        <v>533</v>
      </c>
    </row>
    <row r="4" spans="1:20" ht="20.25" customHeight="1">
      <c r="A4" s="807"/>
      <c r="B4" s="811" t="s">
        <v>537</v>
      </c>
      <c r="C4" s="811" t="s">
        <v>538</v>
      </c>
      <c r="D4" s="811" t="s">
        <v>539</v>
      </c>
      <c r="E4" s="811" t="s">
        <v>540</v>
      </c>
      <c r="F4" s="811" t="s">
        <v>541</v>
      </c>
      <c r="G4" s="810"/>
      <c r="H4" s="810"/>
      <c r="I4" s="810"/>
      <c r="J4" s="810"/>
      <c r="K4" s="810"/>
      <c r="L4" s="810"/>
      <c r="M4" s="810"/>
      <c r="N4" s="810"/>
      <c r="O4" s="810"/>
      <c r="P4" s="810"/>
      <c r="Q4" s="810"/>
      <c r="R4" s="810"/>
      <c r="S4" s="810"/>
      <c r="T4" s="810"/>
    </row>
    <row r="5" spans="1:20" ht="30" customHeight="1">
      <c r="A5" s="812" t="s">
        <v>506</v>
      </c>
      <c r="B5" s="813"/>
      <c r="C5" s="813"/>
      <c r="D5" s="813"/>
      <c r="E5" s="813"/>
      <c r="F5" s="813"/>
      <c r="G5" s="813"/>
      <c r="H5" s="813"/>
      <c r="I5" s="813"/>
      <c r="J5" s="813"/>
      <c r="K5" s="813"/>
      <c r="L5" s="813"/>
      <c r="M5" s="813"/>
      <c r="N5" s="813"/>
      <c r="O5" s="813"/>
      <c r="P5" s="813"/>
      <c r="Q5" s="813"/>
      <c r="R5" s="813"/>
      <c r="S5" s="814"/>
      <c r="T5" s="815"/>
    </row>
    <row r="6" spans="1:20" ht="17.5">
      <c r="A6" s="816" t="s">
        <v>139</v>
      </c>
      <c r="B6" s="811"/>
      <c r="C6" s="811"/>
      <c r="D6" s="811"/>
      <c r="E6" s="811"/>
      <c r="F6" s="811"/>
      <c r="G6" s="817"/>
      <c r="H6" s="817"/>
      <c r="I6" s="818"/>
      <c r="J6" s="818"/>
      <c r="K6" s="818"/>
      <c r="L6" s="817"/>
      <c r="M6" s="818"/>
      <c r="N6" s="817"/>
      <c r="O6" s="818"/>
      <c r="P6" s="818"/>
      <c r="Q6" s="818"/>
      <c r="R6" s="818"/>
      <c r="S6" s="815"/>
      <c r="T6" s="815"/>
    </row>
    <row r="7" spans="1:20" ht="17.5">
      <c r="A7" s="816" t="s">
        <v>141</v>
      </c>
      <c r="B7" s="819"/>
      <c r="C7" s="811"/>
      <c r="D7" s="811"/>
      <c r="E7" s="811"/>
      <c r="F7" s="811"/>
      <c r="G7" s="818"/>
      <c r="H7" s="818"/>
      <c r="I7" s="820"/>
      <c r="J7" s="820"/>
      <c r="K7" s="818"/>
      <c r="L7" s="818"/>
      <c r="M7" s="817"/>
      <c r="N7" s="818"/>
      <c r="O7" s="817"/>
      <c r="P7" s="818"/>
      <c r="Q7" s="818"/>
      <c r="R7" s="818"/>
      <c r="S7" s="821"/>
      <c r="T7" s="815"/>
    </row>
    <row r="8" spans="1:20" ht="17.5">
      <c r="A8" s="816" t="s">
        <v>142</v>
      </c>
      <c r="B8" s="811"/>
      <c r="C8" s="811"/>
      <c r="D8" s="811"/>
      <c r="E8" s="811"/>
      <c r="F8" s="811"/>
      <c r="G8" s="822"/>
      <c r="H8" s="822"/>
      <c r="I8" s="811"/>
      <c r="J8" s="811"/>
      <c r="K8" s="811"/>
      <c r="L8" s="822"/>
      <c r="M8" s="822"/>
      <c r="N8" s="811"/>
      <c r="O8" s="811"/>
      <c r="P8" s="811"/>
      <c r="Q8" s="811"/>
      <c r="R8" s="811"/>
      <c r="S8" s="815"/>
      <c r="T8" s="815"/>
    </row>
    <row r="9" spans="1:20" ht="17.5">
      <c r="A9" s="816" t="s">
        <v>143</v>
      </c>
      <c r="B9" s="811"/>
      <c r="C9" s="811"/>
      <c r="D9" s="811"/>
      <c r="E9" s="811"/>
      <c r="F9" s="811"/>
      <c r="G9" s="811"/>
      <c r="H9" s="811"/>
      <c r="I9" s="811"/>
      <c r="J9" s="811"/>
      <c r="K9" s="811"/>
      <c r="L9" s="822"/>
      <c r="M9" s="811"/>
      <c r="N9" s="811"/>
      <c r="O9" s="811"/>
      <c r="P9" s="811"/>
      <c r="Q9" s="811"/>
      <c r="R9" s="811"/>
      <c r="S9" s="811"/>
      <c r="T9" s="815"/>
    </row>
    <row r="10" spans="1:20" ht="17.5">
      <c r="A10" s="816" t="s">
        <v>144</v>
      </c>
      <c r="B10" s="811"/>
      <c r="C10" s="811"/>
      <c r="D10" s="811"/>
      <c r="E10" s="811"/>
      <c r="F10" s="811"/>
      <c r="G10" s="811"/>
      <c r="H10" s="811"/>
      <c r="I10" s="822"/>
      <c r="J10" s="811"/>
      <c r="K10" s="811"/>
      <c r="L10" s="811"/>
      <c r="M10" s="822"/>
      <c r="N10" s="811"/>
      <c r="O10" s="811"/>
      <c r="P10" s="811"/>
      <c r="Q10" s="811"/>
      <c r="R10" s="811"/>
      <c r="S10" s="815"/>
      <c r="T10" s="815"/>
    </row>
    <row r="11" spans="1:20" ht="17.5">
      <c r="A11" s="816" t="s">
        <v>145</v>
      </c>
      <c r="B11" s="811"/>
      <c r="C11" s="811"/>
      <c r="D11" s="811"/>
      <c r="E11" s="811"/>
      <c r="F11" s="811"/>
      <c r="G11" s="811"/>
      <c r="H11" s="811"/>
      <c r="I11" s="822"/>
      <c r="J11" s="811"/>
      <c r="K11" s="811"/>
      <c r="L11" s="811"/>
      <c r="M11" s="811"/>
      <c r="N11" s="811"/>
      <c r="O11" s="811"/>
      <c r="P11" s="811"/>
      <c r="Q11" s="811"/>
      <c r="R11" s="811"/>
      <c r="S11" s="815"/>
      <c r="T11" s="815"/>
    </row>
    <row r="12" spans="1:20" ht="17.5">
      <c r="A12" s="816"/>
      <c r="B12" s="811"/>
      <c r="C12" s="811"/>
      <c r="D12" s="811"/>
      <c r="E12" s="811"/>
      <c r="F12" s="811"/>
      <c r="G12" s="811"/>
      <c r="H12" s="811"/>
      <c r="I12" s="811"/>
      <c r="J12" s="811"/>
      <c r="K12" s="811"/>
      <c r="L12" s="811"/>
      <c r="M12" s="811"/>
      <c r="N12" s="811"/>
      <c r="O12" s="811"/>
      <c r="P12" s="811"/>
      <c r="Q12" s="811"/>
      <c r="R12" s="811"/>
      <c r="S12" s="811"/>
      <c r="T12" s="815"/>
    </row>
    <row r="13" spans="1:20" ht="17.5">
      <c r="A13" s="816"/>
      <c r="B13" s="811"/>
      <c r="C13" s="811"/>
      <c r="D13" s="811"/>
      <c r="E13" s="811"/>
      <c r="F13" s="811"/>
      <c r="G13" s="811"/>
      <c r="H13" s="811"/>
      <c r="I13" s="811"/>
      <c r="J13" s="811"/>
      <c r="K13" s="811"/>
      <c r="L13" s="811"/>
      <c r="M13" s="811"/>
      <c r="N13" s="811"/>
      <c r="O13" s="811"/>
      <c r="P13" s="811"/>
      <c r="Q13" s="811"/>
      <c r="R13" s="811"/>
      <c r="S13" s="811"/>
      <c r="T13" s="815"/>
    </row>
    <row r="14" spans="1:20" ht="17.5">
      <c r="A14" s="816"/>
      <c r="B14" s="811"/>
      <c r="C14" s="811"/>
      <c r="D14" s="811"/>
      <c r="E14" s="811"/>
      <c r="F14" s="811"/>
      <c r="G14" s="811"/>
      <c r="H14" s="811"/>
      <c r="I14" s="811"/>
      <c r="J14" s="811"/>
      <c r="K14" s="811"/>
      <c r="L14" s="811"/>
      <c r="M14" s="811"/>
      <c r="N14" s="811"/>
      <c r="O14" s="811"/>
      <c r="P14" s="811"/>
      <c r="Q14" s="811"/>
      <c r="R14" s="811"/>
      <c r="S14" s="811"/>
      <c r="T14" s="815"/>
    </row>
    <row r="15" spans="1:20" ht="64" customHeight="1">
      <c r="A15" s="823" t="s">
        <v>503</v>
      </c>
      <c r="B15" s="823"/>
      <c r="C15" s="823"/>
      <c r="D15" s="823"/>
      <c r="E15" s="823"/>
      <c r="F15" s="823"/>
      <c r="G15" s="823"/>
      <c r="H15" s="823"/>
      <c r="I15" s="823"/>
      <c r="J15" s="823"/>
      <c r="K15" s="823"/>
      <c r="L15" s="823"/>
      <c r="M15" s="823"/>
      <c r="N15" s="823"/>
      <c r="O15" s="823"/>
      <c r="P15" s="823"/>
      <c r="Q15" s="823"/>
      <c r="R15" s="823"/>
      <c r="S15" s="815"/>
      <c r="T15" s="815"/>
    </row>
    <row r="16" spans="1:20" ht="17.5">
      <c r="A16" s="816" t="s">
        <v>542</v>
      </c>
      <c r="B16" s="822"/>
      <c r="C16" s="822"/>
      <c r="D16" s="811"/>
      <c r="E16" s="822"/>
      <c r="F16" s="822"/>
      <c r="G16" s="811"/>
      <c r="H16" s="822"/>
      <c r="I16" s="811"/>
      <c r="J16" s="822"/>
      <c r="K16" s="811"/>
      <c r="L16" s="811"/>
      <c r="M16" s="822"/>
      <c r="N16" s="811"/>
      <c r="O16" s="822"/>
      <c r="P16" s="822"/>
      <c r="Q16" s="811"/>
      <c r="R16" s="811"/>
      <c r="S16" s="821"/>
      <c r="T16" s="815"/>
    </row>
    <row r="17" spans="1:20" ht="17.5">
      <c r="A17" s="816" t="s">
        <v>543</v>
      </c>
      <c r="B17" s="822"/>
      <c r="C17" s="822"/>
      <c r="D17" s="811"/>
      <c r="E17" s="822"/>
      <c r="F17" s="822"/>
      <c r="G17" s="811"/>
      <c r="H17" s="822"/>
      <c r="I17" s="811"/>
      <c r="J17" s="822"/>
      <c r="K17" s="811"/>
      <c r="L17" s="811"/>
      <c r="M17" s="822"/>
      <c r="N17" s="811"/>
      <c r="O17" s="822"/>
      <c r="P17" s="822"/>
      <c r="Q17" s="811"/>
      <c r="R17" s="811"/>
      <c r="S17" s="821"/>
      <c r="T17" s="815"/>
    </row>
    <row r="18" spans="1:20" ht="17.5">
      <c r="A18" s="816" t="s">
        <v>544</v>
      </c>
      <c r="B18" s="822"/>
      <c r="C18" s="811"/>
      <c r="D18" s="811"/>
      <c r="E18" s="811"/>
      <c r="F18" s="811"/>
      <c r="G18" s="811"/>
      <c r="H18" s="811"/>
      <c r="I18" s="811"/>
      <c r="J18" s="811"/>
      <c r="K18" s="811"/>
      <c r="L18" s="811"/>
      <c r="M18" s="811"/>
      <c r="N18" s="811"/>
      <c r="O18" s="822"/>
      <c r="P18" s="811"/>
      <c r="Q18" s="811"/>
      <c r="R18" s="818"/>
      <c r="S18" s="815"/>
      <c r="T18" s="815"/>
    </row>
    <row r="19" spans="1:20" ht="17.5">
      <c r="A19" s="816" t="s">
        <v>545</v>
      </c>
      <c r="B19" s="811"/>
      <c r="C19" s="811"/>
      <c r="D19" s="811"/>
      <c r="E19" s="811"/>
      <c r="F19" s="811"/>
      <c r="G19" s="822"/>
      <c r="H19" s="811"/>
      <c r="I19" s="811"/>
      <c r="J19" s="811"/>
      <c r="K19" s="822"/>
      <c r="L19" s="811"/>
      <c r="M19" s="811"/>
      <c r="N19" s="811"/>
      <c r="O19" s="822"/>
      <c r="P19" s="811"/>
      <c r="Q19" s="811"/>
      <c r="R19" s="811"/>
      <c r="S19" s="821"/>
      <c r="T19" s="815"/>
    </row>
    <row r="20" spans="1:20" ht="17.5">
      <c r="A20" s="816"/>
      <c r="B20" s="822"/>
      <c r="C20" s="822"/>
      <c r="D20" s="822"/>
      <c r="E20" s="822"/>
      <c r="F20" s="811"/>
      <c r="G20" s="811"/>
      <c r="H20" s="811"/>
      <c r="I20" s="811"/>
      <c r="J20" s="822"/>
      <c r="K20" s="811"/>
      <c r="L20" s="811"/>
      <c r="M20" s="811"/>
      <c r="N20" s="822"/>
      <c r="O20" s="811"/>
      <c r="P20" s="811"/>
      <c r="Q20" s="811"/>
      <c r="R20" s="822"/>
      <c r="S20" s="822"/>
      <c r="T20" s="815"/>
    </row>
    <row r="21" spans="1:20" ht="32.25" customHeight="1">
      <c r="A21" s="823" t="s">
        <v>507</v>
      </c>
      <c r="B21" s="823"/>
      <c r="C21" s="823"/>
      <c r="D21" s="823"/>
      <c r="E21" s="823"/>
      <c r="F21" s="823"/>
      <c r="G21" s="823"/>
      <c r="H21" s="823"/>
      <c r="I21" s="823"/>
      <c r="J21" s="823"/>
      <c r="K21" s="823"/>
      <c r="L21" s="823"/>
      <c r="M21" s="823"/>
      <c r="N21" s="823"/>
      <c r="O21" s="823"/>
      <c r="P21" s="823"/>
      <c r="Q21" s="823"/>
      <c r="R21" s="823"/>
      <c r="S21" s="815"/>
      <c r="T21" s="815"/>
    </row>
    <row r="22" spans="1:20" ht="17.5">
      <c r="A22" s="816" t="s">
        <v>542</v>
      </c>
      <c r="B22" s="811"/>
      <c r="C22" s="822"/>
      <c r="D22" s="822"/>
      <c r="E22" s="822"/>
      <c r="F22" s="811"/>
      <c r="G22" s="818"/>
      <c r="H22" s="817"/>
      <c r="I22" s="818"/>
      <c r="J22" s="818"/>
      <c r="K22" s="818"/>
      <c r="L22" s="817"/>
      <c r="M22" s="818"/>
      <c r="N22" s="818"/>
      <c r="O22" s="818"/>
      <c r="P22" s="817"/>
      <c r="Q22" s="818"/>
      <c r="R22" s="818"/>
      <c r="S22" s="821"/>
      <c r="T22" s="815"/>
    </row>
    <row r="23" spans="1:20" ht="17.5">
      <c r="A23" s="816" t="s">
        <v>543</v>
      </c>
      <c r="B23" s="811"/>
      <c r="C23" s="811"/>
      <c r="D23" s="811"/>
      <c r="E23" s="811"/>
      <c r="F23" s="811"/>
      <c r="G23" s="822"/>
      <c r="H23" s="811"/>
      <c r="I23" s="811"/>
      <c r="J23" s="811"/>
      <c r="K23" s="811"/>
      <c r="L23" s="811"/>
      <c r="M23" s="811"/>
      <c r="N23" s="811"/>
      <c r="O23" s="822"/>
      <c r="P23" s="811"/>
      <c r="Q23" s="811"/>
      <c r="R23" s="811"/>
      <c r="S23" s="815"/>
      <c r="T23" s="815"/>
    </row>
    <row r="24" spans="1:20" ht="17.5">
      <c r="A24" s="816" t="s">
        <v>544</v>
      </c>
      <c r="B24" s="811"/>
      <c r="C24" s="811"/>
      <c r="D24" s="822"/>
      <c r="E24" s="822"/>
      <c r="F24" s="811"/>
      <c r="G24" s="811"/>
      <c r="H24" s="811"/>
      <c r="I24" s="811"/>
      <c r="J24" s="811"/>
      <c r="K24" s="811"/>
      <c r="L24" s="811"/>
      <c r="M24" s="811"/>
      <c r="N24" s="811"/>
      <c r="O24" s="811"/>
      <c r="P24" s="811"/>
      <c r="Q24" s="822"/>
      <c r="R24" s="811"/>
      <c r="S24" s="811"/>
      <c r="T24" s="815"/>
    </row>
    <row r="25" spans="1:20" ht="17.5">
      <c r="A25" s="816" t="s">
        <v>545</v>
      </c>
      <c r="B25" s="811"/>
      <c r="C25" s="811"/>
      <c r="D25" s="811"/>
      <c r="E25" s="811"/>
      <c r="F25" s="811"/>
      <c r="G25" s="811"/>
      <c r="H25" s="811"/>
      <c r="I25" s="822"/>
      <c r="J25" s="811"/>
      <c r="K25" s="811"/>
      <c r="L25" s="811"/>
      <c r="M25" s="811"/>
      <c r="N25" s="811"/>
      <c r="O25" s="811"/>
      <c r="P25" s="822"/>
      <c r="Q25" s="811"/>
      <c r="R25" s="811"/>
      <c r="S25" s="815"/>
      <c r="T25" s="815"/>
    </row>
    <row r="26" spans="1:20" ht="17.5">
      <c r="A26" s="816" t="s">
        <v>546</v>
      </c>
      <c r="B26" s="819"/>
      <c r="C26" s="811"/>
      <c r="D26" s="811"/>
      <c r="E26" s="819"/>
      <c r="F26" s="811"/>
      <c r="G26" s="818"/>
      <c r="H26" s="818"/>
      <c r="I26" s="818"/>
      <c r="J26" s="820"/>
      <c r="K26" s="818"/>
      <c r="L26" s="818"/>
      <c r="M26" s="818"/>
      <c r="N26" s="820"/>
      <c r="O26" s="818"/>
      <c r="P26" s="818"/>
      <c r="Q26" s="818"/>
      <c r="R26" s="820"/>
      <c r="S26" s="821"/>
      <c r="T26" s="815"/>
    </row>
    <row r="27" spans="1:20" ht="17.5">
      <c r="A27" s="816"/>
      <c r="B27" s="819"/>
      <c r="C27" s="819"/>
      <c r="D27" s="819"/>
      <c r="E27" s="811"/>
      <c r="F27" s="811"/>
      <c r="G27" s="811"/>
      <c r="H27" s="811"/>
      <c r="I27" s="822"/>
      <c r="J27" s="811"/>
      <c r="K27" s="811"/>
      <c r="L27" s="811"/>
      <c r="M27" s="822"/>
      <c r="N27" s="811"/>
      <c r="O27" s="811"/>
      <c r="P27" s="811"/>
      <c r="Q27" s="822"/>
      <c r="R27" s="811"/>
      <c r="S27" s="821"/>
      <c r="T27" s="815"/>
    </row>
    <row r="28" spans="1:20" ht="33" customHeight="1">
      <c r="A28" s="824" t="str">
        <f>'[28]2024-2028 Budget'!B87</f>
        <v>Objective 4: To build institutional capacity for AAZ and Civil Society Organizations (CSOs), fostering effective coordination for joint initiatives and increased collective impact by the year 2028.</v>
      </c>
      <c r="B28" s="824"/>
      <c r="C28" s="824"/>
      <c r="D28" s="824"/>
      <c r="E28" s="824"/>
      <c r="F28" s="824"/>
      <c r="G28" s="824"/>
      <c r="H28" s="824"/>
      <c r="I28" s="824"/>
      <c r="J28" s="824"/>
      <c r="K28" s="824"/>
      <c r="L28" s="824"/>
      <c r="M28" s="824"/>
      <c r="N28" s="824"/>
      <c r="O28" s="824"/>
      <c r="P28" s="824"/>
      <c r="Q28" s="824"/>
      <c r="R28" s="824"/>
      <c r="S28" s="815"/>
      <c r="T28" s="815"/>
    </row>
    <row r="29" spans="1:20" ht="35">
      <c r="A29" s="816" t="str">
        <f>'[28]2024-2028 Budget'!B88</f>
        <v xml:space="preserve">A.4.1 Participate in National and International comemmorations and conferences </v>
      </c>
      <c r="B29" s="811"/>
      <c r="C29" s="811"/>
      <c r="D29" s="811"/>
      <c r="E29" s="811"/>
      <c r="F29" s="811"/>
      <c r="G29" s="822"/>
      <c r="H29" s="811"/>
      <c r="I29" s="811"/>
      <c r="J29" s="811"/>
      <c r="K29" s="822"/>
      <c r="L29" s="811"/>
      <c r="M29" s="811"/>
      <c r="N29" s="811"/>
      <c r="O29" s="822"/>
      <c r="P29" s="811"/>
      <c r="Q29" s="811"/>
      <c r="R29" s="811"/>
      <c r="S29" s="822"/>
      <c r="T29" s="815"/>
    </row>
    <row r="30" spans="1:20" ht="52.5">
      <c r="A30" s="816" t="str">
        <f>'[28]2024-2028 Budget'!B89</f>
        <v>A.4.2. Participation in Internation Conferences such as the Africa Climate summit, Conference of Parties (COPs), Africa Mining Indabas etc</v>
      </c>
      <c r="B30" s="811"/>
      <c r="C30" s="811"/>
      <c r="D30" s="811"/>
      <c r="E30" s="811"/>
      <c r="F30" s="811"/>
      <c r="G30" s="817"/>
      <c r="H30" s="818"/>
      <c r="I30" s="818"/>
      <c r="J30" s="818"/>
      <c r="K30" s="817"/>
      <c r="L30" s="818"/>
      <c r="M30" s="818"/>
      <c r="N30" s="818"/>
      <c r="O30" s="817"/>
      <c r="P30" s="818"/>
      <c r="Q30" s="818"/>
      <c r="R30" s="818"/>
      <c r="S30" s="815"/>
      <c r="T30" s="815"/>
    </row>
    <row r="31" spans="1:20" ht="17.5">
      <c r="A31" s="816" t="str">
        <f>'[28]2024-2028 Budget'!B90</f>
        <v xml:space="preserve">A.4.3. AAZ staff Capacity Buiding support </v>
      </c>
      <c r="B31" s="811"/>
      <c r="C31" s="811"/>
      <c r="D31" s="822"/>
      <c r="E31" s="811"/>
      <c r="F31" s="811"/>
      <c r="G31" s="818"/>
      <c r="H31" s="818"/>
      <c r="I31" s="820"/>
      <c r="J31" s="818"/>
      <c r="K31" s="818"/>
      <c r="L31" s="818"/>
      <c r="M31" s="818"/>
      <c r="N31" s="820"/>
      <c r="O31" s="818"/>
      <c r="P31" s="818"/>
      <c r="Q31" s="818"/>
      <c r="R31" s="820"/>
      <c r="S31" s="815"/>
      <c r="T31" s="815"/>
    </row>
    <row r="32" spans="1:20" ht="17.5">
      <c r="A32" s="816" t="str">
        <f>'[28]2024-2028 Budget'!B91</f>
        <v xml:space="preserve">A.4.4. Social movement building training </v>
      </c>
      <c r="B32" s="811"/>
      <c r="C32" s="822"/>
      <c r="D32" s="811"/>
      <c r="E32" s="811"/>
      <c r="F32" s="811"/>
      <c r="G32" s="811"/>
      <c r="H32" s="822"/>
      <c r="I32" s="811"/>
      <c r="J32" s="811"/>
      <c r="K32" s="811"/>
      <c r="L32" s="822"/>
      <c r="M32" s="811"/>
      <c r="N32" s="811"/>
      <c r="O32" s="811"/>
      <c r="P32" s="822"/>
      <c r="Q32" s="811"/>
      <c r="R32" s="811"/>
      <c r="S32" s="821"/>
      <c r="T32" s="815"/>
    </row>
    <row r="33" spans="1:20" ht="35">
      <c r="A33" s="816" t="str">
        <f>'[28]2024-2028 Budget'!B92</f>
        <v xml:space="preserve">A.4.5. Capacity building in Activism, Advocay and engagement strategies </v>
      </c>
      <c r="B33" s="811"/>
      <c r="C33" s="822"/>
      <c r="D33" s="811"/>
      <c r="E33" s="811"/>
      <c r="F33" s="811"/>
      <c r="G33" s="811"/>
      <c r="H33" s="822"/>
      <c r="I33" s="811"/>
      <c r="J33" s="811"/>
      <c r="K33" s="811"/>
      <c r="L33" s="822"/>
      <c r="M33" s="811"/>
      <c r="N33" s="811"/>
      <c r="O33" s="811"/>
      <c r="P33" s="811"/>
      <c r="Q33" s="822"/>
      <c r="R33" s="811"/>
      <c r="S33" s="822"/>
      <c r="T33" s="815"/>
    </row>
    <row r="34" spans="1:20" ht="17.5">
      <c r="A34" s="816" t="str">
        <f>'[28]2024-2028 Budget'!B93</f>
        <v xml:space="preserve">A.4.6. Capacity buiding in climate justice </v>
      </c>
      <c r="B34" s="811"/>
      <c r="C34" s="811"/>
      <c r="D34" s="811"/>
      <c r="E34" s="811"/>
      <c r="F34" s="811"/>
      <c r="G34" s="811"/>
      <c r="H34" s="811"/>
      <c r="I34" s="811"/>
      <c r="J34" s="822"/>
      <c r="K34" s="811"/>
      <c r="L34" s="811"/>
      <c r="M34" s="811"/>
      <c r="N34" s="822"/>
      <c r="O34" s="811"/>
      <c r="P34" s="811"/>
      <c r="Q34" s="811"/>
      <c r="R34" s="822"/>
      <c r="S34" s="811"/>
      <c r="T34" s="815"/>
    </row>
    <row r="35" spans="1:20" ht="35">
      <c r="A35" s="816" t="str">
        <f>'[28]2024-2028 Budget'!B94</f>
        <v>A.4.7. capacity buidlding in feminist approaches and power analysis</v>
      </c>
      <c r="B35" s="811"/>
      <c r="C35" s="811"/>
      <c r="D35" s="811"/>
      <c r="E35" s="811"/>
      <c r="F35" s="811"/>
      <c r="G35" s="822"/>
      <c r="H35" s="811"/>
      <c r="I35" s="811"/>
      <c r="J35" s="811"/>
      <c r="K35" s="811"/>
      <c r="L35" s="811"/>
      <c r="M35" s="811"/>
      <c r="N35" s="811"/>
      <c r="O35" s="811"/>
      <c r="P35" s="811"/>
      <c r="Q35" s="811"/>
      <c r="R35" s="811"/>
      <c r="S35" s="815"/>
      <c r="T35" s="815"/>
    </row>
    <row r="36" spans="1:20" ht="35">
      <c r="A36" s="816" t="str">
        <f>'[28]2024-2028 Budget'!B95</f>
        <v xml:space="preserve">A.4.8. Resource mobilization and proposal writing training </v>
      </c>
      <c r="B36" s="811"/>
      <c r="C36" s="811"/>
      <c r="D36" s="811"/>
      <c r="E36" s="822"/>
      <c r="F36" s="811"/>
      <c r="G36" s="818"/>
      <c r="H36" s="818"/>
      <c r="I36" s="820"/>
      <c r="J36" s="818"/>
      <c r="K36" s="818"/>
      <c r="L36" s="818"/>
      <c r="M36" s="818"/>
      <c r="N36" s="820"/>
      <c r="O36" s="818"/>
      <c r="P36" s="818"/>
      <c r="Q36" s="818"/>
      <c r="R36" s="820"/>
      <c r="S36" s="821"/>
      <c r="T36" s="815"/>
    </row>
    <row r="37" spans="1:20" ht="35">
      <c r="A37" s="816" t="str">
        <f>'[28]2024-2028 Budget'!B96</f>
        <v>A.4.9. Peer to peer learning through exchange visit among sub-grantees</v>
      </c>
      <c r="B37" s="811"/>
      <c r="C37" s="811"/>
      <c r="D37" s="811"/>
      <c r="E37" s="811"/>
      <c r="F37" s="811"/>
      <c r="G37" s="811"/>
      <c r="H37" s="822"/>
      <c r="I37" s="811"/>
      <c r="J37" s="822"/>
      <c r="K37" s="811"/>
      <c r="L37" s="811"/>
      <c r="M37" s="811"/>
      <c r="N37" s="822"/>
      <c r="O37" s="811"/>
      <c r="P37" s="811"/>
      <c r="Q37" s="811"/>
      <c r="R37" s="822"/>
      <c r="S37" s="811"/>
      <c r="T37" s="815"/>
    </row>
    <row r="38" spans="1:20" ht="105">
      <c r="A38" s="816" t="str">
        <f>'[28]2024-2028 Budget'!B98</f>
        <v>A.4.11 Flexible, innovative and alternative funding support to CSOs and Social Movement Groups to address and promote civic and political participation, anti-corruption, accountability, health rights, environment and climate change governance at all levels.</v>
      </c>
      <c r="B38" s="811"/>
      <c r="C38" s="811"/>
      <c r="D38" s="819"/>
      <c r="E38" s="811"/>
      <c r="F38" s="811"/>
      <c r="G38" s="820"/>
      <c r="H38" s="820"/>
      <c r="I38" s="818"/>
      <c r="J38" s="818"/>
      <c r="K38" s="820"/>
      <c r="L38" s="820"/>
      <c r="M38" s="818"/>
      <c r="N38" s="818"/>
      <c r="O38" s="818"/>
      <c r="P38" s="820"/>
      <c r="Q38" s="818"/>
      <c r="R38" s="818"/>
      <c r="S38" s="815"/>
      <c r="T38" s="815"/>
    </row>
    <row r="39" spans="1:20" ht="17.5">
      <c r="A39" s="816" t="str">
        <f>'[28]2024-2028 Budget'!B99</f>
        <v xml:space="preserve">A.4.12. Team Building </v>
      </c>
      <c r="B39" s="811"/>
      <c r="C39" s="822"/>
      <c r="D39" s="811"/>
      <c r="E39" s="811"/>
      <c r="F39" s="811"/>
      <c r="G39" s="811"/>
      <c r="H39" s="811"/>
      <c r="I39" s="822"/>
      <c r="J39" s="811"/>
      <c r="K39" s="811"/>
      <c r="L39" s="811"/>
      <c r="M39" s="822"/>
      <c r="N39" s="811"/>
      <c r="O39" s="811"/>
      <c r="P39" s="811"/>
      <c r="Q39" s="822"/>
      <c r="R39" s="818"/>
      <c r="S39" s="821"/>
      <c r="T39" s="815"/>
    </row>
    <row r="40" spans="1:20" ht="35">
      <c r="A40" s="816" t="str">
        <f>'[28]2024-2028 Budget'!B100</f>
        <v>A4.13 Subgrantee mentorship support by AAZ capacity development officers (Hubs)</v>
      </c>
      <c r="B40" s="811"/>
      <c r="C40" s="811"/>
      <c r="D40" s="811"/>
      <c r="E40" s="811"/>
      <c r="F40" s="822"/>
      <c r="G40" s="811"/>
      <c r="H40" s="811"/>
      <c r="I40" s="811"/>
      <c r="J40" s="822"/>
      <c r="K40" s="811"/>
      <c r="L40" s="811"/>
      <c r="M40" s="811"/>
      <c r="N40" s="822"/>
      <c r="O40" s="811"/>
      <c r="P40" s="811"/>
      <c r="Q40" s="822"/>
      <c r="R40" s="811"/>
      <c r="S40" s="811"/>
      <c r="T40" s="815"/>
    </row>
    <row r="41" spans="1:20" ht="35">
      <c r="A41" s="816" t="str">
        <f>'[28]2024-2028 Budget'!B101</f>
        <v>4.14. Fundamentals of Social Accountability Monitoring Training Training (PSAM)</v>
      </c>
      <c r="B41" s="811"/>
      <c r="C41" s="811"/>
      <c r="D41" s="811"/>
      <c r="E41" s="822"/>
      <c r="F41" s="822"/>
      <c r="G41" s="811"/>
      <c r="H41" s="811"/>
      <c r="I41" s="822"/>
      <c r="J41" s="811"/>
      <c r="K41" s="811"/>
      <c r="L41" s="811"/>
      <c r="M41" s="822"/>
      <c r="N41" s="811"/>
      <c r="O41" s="811"/>
      <c r="P41" s="822"/>
      <c r="Q41" s="811"/>
      <c r="R41" s="811"/>
      <c r="S41" s="822"/>
      <c r="T41" s="815"/>
    </row>
    <row r="42" spans="1:20" ht="35">
      <c r="A42" s="816" t="str">
        <f>'[28]2024-2028 Budget'!B102</f>
        <v>4.15. Fundamentals of Social Accountability Monitoring Training Training (PSAM) in Country Training for CSOs</v>
      </c>
      <c r="B42" s="811"/>
      <c r="C42" s="811"/>
      <c r="D42" s="822"/>
      <c r="E42" s="811"/>
      <c r="F42" s="811"/>
      <c r="G42" s="811"/>
      <c r="H42" s="811"/>
      <c r="I42" s="811"/>
      <c r="J42" s="811"/>
      <c r="K42" s="811"/>
      <c r="L42" s="822"/>
      <c r="M42" s="811"/>
      <c r="N42" s="811"/>
      <c r="O42" s="811"/>
      <c r="P42" s="811"/>
      <c r="Q42" s="811"/>
      <c r="R42" s="811"/>
      <c r="S42" s="815"/>
      <c r="T42" s="815"/>
    </row>
  </sheetData>
  <mergeCells count="27">
    <mergeCell ref="A15:R15"/>
    <mergeCell ref="A21:R21"/>
    <mergeCell ref="A28:R28"/>
    <mergeCell ref="S2:T2"/>
    <mergeCell ref="T3:T4"/>
    <mergeCell ref="O3:O4"/>
    <mergeCell ref="P3:P4"/>
    <mergeCell ref="Q3:Q4"/>
    <mergeCell ref="R3:R4"/>
    <mergeCell ref="S3:S4"/>
    <mergeCell ref="A5:S5"/>
    <mergeCell ref="I3:I4"/>
    <mergeCell ref="J3:J4"/>
    <mergeCell ref="K3:K4"/>
    <mergeCell ref="L3:L4"/>
    <mergeCell ref="M3:M4"/>
    <mergeCell ref="N3:N4"/>
    <mergeCell ref="A1:R1"/>
    <mergeCell ref="A2:A4"/>
    <mergeCell ref="B2:F2"/>
    <mergeCell ref="G2:J2"/>
    <mergeCell ref="K2:N2"/>
    <mergeCell ref="O2:R2"/>
    <mergeCell ref="B3:C3"/>
    <mergeCell ref="D3:F3"/>
    <mergeCell ref="G3:G4"/>
    <mergeCell ref="H3:H4"/>
  </mergeCells>
  <phoneticPr fontId="36" type="noConversion"/>
  <pageMargins left="0.7" right="0.7" top="0.75" bottom="0.75" header="0.3" footer="0.3"/>
  <customProperties>
    <customPr name="QAA_DRILLPATH_NODE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eebc68f-9919-423b-aa99-6ce80a11aa0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WorkbookDrillPathInfo xmlns:xsd="http://www.w3.org/2001/XMLSchema" xmlns:xsi="http://www.w3.org/2001/XMLSchema-instance" xmlns="http://www.infor.com/qaa/DrillPath">
  <CurrentDrillPath>
    <DrillPathNode AnalysisType="NONE" Id="47d5e541-4ece-430d-9a66-2582516494c5" Name="2024-2028 Budget" HandleSummaryReportOnly="false">
      <SuppressZero>false</SuppressZero>
      <Children/>
    </DrillPathNode>
    <DrillPathNode AnalysisType="NONE" Id="d430500a-1e6e-456d-963a-96f8da020d12" Name="2024 DETAILED BUDGET" HandleSummaryReportOnly="false" Source="">
      <SuppressZero>false</SuppressZero>
      <Children/>
    </DrillPathNode>
    <DrillPathNode AnalysisType="NONE" Id="91089039-cd51-4096-bc19-c77f6a2da1e4" Name="Activity Budget Example" HandleSummaryReportOnly="false">
      <SuppressZero>false</SuppressZero>
      <Children/>
    </DrillPathNode>
    <DrillPathNode AnalysisType="NONE" Id="5fff9b77-fad7-4a45-b7c5-e760108bc9a5" Name="Employee Budget Example" HandleSummaryReportOnly="false">
      <SuppressZero>false</SuppressZero>
      <Children/>
    </DrillPathNode>
    <DrillPathNode AnalysisType="NONE" Id="97dfe9ad-93ef-4e29-a8f9-0c5c51c4dff4" Name="Work Plan" HandleSummaryReportOnly="false" Source="">
      <SuppressZero>false</SuppressZero>
      <Children/>
    </DrillPathNode>
  </CurrentDrillPath>
  <SavedDrillPath/>
</WorkbookDrillPathInfo>
</file>

<file path=customXml/item4.xml><?xml version="1.0" encoding="utf-8"?>
<ct:contentTypeSchema xmlns:ct="http://schemas.microsoft.com/office/2006/metadata/contentType" xmlns:ma="http://schemas.microsoft.com/office/2006/metadata/properties/metaAttributes" ct:_="" ma:_="" ma:contentTypeName="Document" ma:contentTypeID="0x0101009C0E4AF0F3D5A3479DF0346B267320FB" ma:contentTypeVersion="18" ma:contentTypeDescription="Create a new document." ma:contentTypeScope="" ma:versionID="fd701b1876fe8ee26137013dd192cfe8">
  <xsd:schema xmlns:xsd="http://www.w3.org/2001/XMLSchema" xmlns:xs="http://www.w3.org/2001/XMLSchema" xmlns:p="http://schemas.microsoft.com/office/2006/metadata/properties" xmlns:ns3="8eebc68f-9919-423b-aa99-6ce80a11aa01" xmlns:ns4="30b5f225-b5db-4889-ae1e-57b6c6451368" targetNamespace="http://schemas.microsoft.com/office/2006/metadata/properties" ma:root="true" ma:fieldsID="a7f26e203144157466e18e9540e51457" ns3:_="" ns4:_="">
    <xsd:import namespace="8eebc68f-9919-423b-aa99-6ce80a11aa01"/>
    <xsd:import namespace="30b5f225-b5db-4889-ae1e-57b6c645136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Location"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bc68f-9919-423b-aa99-6ce80a11aa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b5f225-b5db-4889-ae1e-57b6c645136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229E5F-4092-4901-B28A-21EA20B72E96}">
  <ds:schemaRef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30b5f225-b5db-4889-ae1e-57b6c6451368"/>
    <ds:schemaRef ds:uri="8eebc68f-9919-423b-aa99-6ce80a11aa01"/>
    <ds:schemaRef ds:uri="http://schemas.microsoft.com/office/2006/metadata/properties"/>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9C2990E9-F4EA-407E-BDE6-A4501F765DD7}">
  <ds:schemaRefs>
    <ds:schemaRef ds:uri="http://schemas.microsoft.com/sharepoint/v3/contenttype/forms"/>
  </ds:schemaRefs>
</ds:datastoreItem>
</file>

<file path=customXml/itemProps3.xml><?xml version="1.0" encoding="utf-8"?>
<ds:datastoreItem xmlns:ds="http://schemas.openxmlformats.org/officeDocument/2006/customXml" ds:itemID="{1A1E59C9-633D-4A4C-8842-FEABB34EF702}">
  <ds:schemaRefs>
    <ds:schemaRef ds:uri="http://www.w3.org/2001/XMLSchema"/>
    <ds:schemaRef ds:uri="http://www.infor.com/qaa/DrillPath"/>
  </ds:schemaRefs>
</ds:datastoreItem>
</file>

<file path=customXml/itemProps4.xml><?xml version="1.0" encoding="utf-8"?>
<ds:datastoreItem xmlns:ds="http://schemas.openxmlformats.org/officeDocument/2006/customXml" ds:itemID="{51F846EE-6461-4132-9512-D8543FC720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bc68f-9919-423b-aa99-6ce80a11aa01"/>
    <ds:schemaRef ds:uri="30b5f225-b5db-4889-ae1e-57b6c6451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Grants vs Capacity Budget</vt:lpstr>
      <vt:lpstr>example</vt:lpstr>
      <vt:lpstr>6</vt:lpstr>
      <vt:lpstr>calculations obj 1</vt:lpstr>
      <vt:lpstr>Sheet1</vt:lpstr>
      <vt:lpstr>2024-2028 Budget</vt:lpstr>
      <vt:lpstr>2024 DETAILED BUDGET</vt:lpstr>
      <vt:lpstr>Activity Budget Example</vt:lpstr>
      <vt:lpstr>Work Plan</vt:lpstr>
      <vt:lpstr>Employee Budget Example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2017-03-19T10:22:29Z</dcterms:created>
  <dcterms:modified xsi:type="dcterms:W3CDTF">2026-01-14T14:13:25Z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0x0101009C0E4AF0F3D5A3479DF0346B267320FB</vt:lpwstr>
  </property>
  <property fmtid="{D5CDD505-2E9C-101B-9397-08002B2CF9AE}" pid="3" name="_dlc_DocIdItemGuid">
    <vt:lpwstr>1456272e-c829-47e6-95d9-b0a8c5dbfa84</vt:lpwstr>
  </property>
</Properties>
</file>